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ена\Desktop\Меню на сайт\"/>
    </mc:Choice>
  </mc:AlternateContent>
  <bookViews>
    <workbookView xWindow="0" yWindow="0" windowWidth="19200" windowHeight="1146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I188" i="1" l="1"/>
  <c r="H188" i="1"/>
  <c r="G188" i="1"/>
  <c r="J188" i="1" s="1"/>
  <c r="I187" i="1"/>
  <c r="H187" i="1"/>
  <c r="G187" i="1"/>
  <c r="J187" i="1" s="1"/>
  <c r="I186" i="1"/>
  <c r="H186" i="1"/>
  <c r="G186" i="1"/>
  <c r="J186" i="1" s="1"/>
  <c r="I191" i="1"/>
  <c r="H191" i="1"/>
  <c r="G191" i="1"/>
  <c r="J191" i="1" s="1"/>
  <c r="I190" i="1"/>
  <c r="H190" i="1"/>
  <c r="G190" i="1"/>
  <c r="J190" i="1" s="1"/>
  <c r="I189" i="1"/>
  <c r="H189" i="1"/>
  <c r="J189" i="1" s="1"/>
  <c r="G189" i="1"/>
  <c r="I169" i="1"/>
  <c r="H169" i="1"/>
  <c r="G169" i="1"/>
  <c r="J169" i="1" s="1"/>
  <c r="I168" i="1"/>
  <c r="H168" i="1"/>
  <c r="J168" i="1" s="1"/>
  <c r="G168" i="1"/>
  <c r="I167" i="1"/>
  <c r="H167" i="1"/>
  <c r="J167" i="1" s="1"/>
  <c r="G167" i="1"/>
  <c r="I172" i="1"/>
  <c r="H172" i="1"/>
  <c r="G172" i="1"/>
  <c r="J172" i="1" s="1"/>
  <c r="I171" i="1"/>
  <c r="H171" i="1"/>
  <c r="G171" i="1"/>
  <c r="J171" i="1" s="1"/>
  <c r="I170" i="1"/>
  <c r="H170" i="1"/>
  <c r="J170" i="1" s="1"/>
  <c r="G170" i="1"/>
  <c r="I150" i="1"/>
  <c r="H150" i="1"/>
  <c r="G150" i="1"/>
  <c r="J150" i="1" s="1"/>
  <c r="I149" i="1"/>
  <c r="H149" i="1"/>
  <c r="G149" i="1"/>
  <c r="J149" i="1" s="1"/>
  <c r="I148" i="1"/>
  <c r="H148" i="1"/>
  <c r="J148" i="1" s="1"/>
  <c r="G148" i="1"/>
  <c r="I151" i="1"/>
  <c r="H151" i="1"/>
  <c r="G151" i="1"/>
  <c r="J151" i="1" s="1"/>
  <c r="I154" i="1"/>
  <c r="H154" i="1"/>
  <c r="G154" i="1"/>
  <c r="J154" i="1" s="1"/>
  <c r="I153" i="1"/>
  <c r="H153" i="1"/>
  <c r="G153" i="1"/>
  <c r="J153" i="1" s="1"/>
  <c r="I152" i="1"/>
  <c r="H152" i="1"/>
  <c r="G152" i="1"/>
  <c r="J152" i="1" s="1"/>
  <c r="I113" i="1"/>
  <c r="H113" i="1"/>
  <c r="G113" i="1"/>
  <c r="J113" i="1" s="1"/>
  <c r="I111" i="1"/>
  <c r="H111" i="1"/>
  <c r="G111" i="1"/>
  <c r="J111" i="1" s="1"/>
  <c r="I110" i="1"/>
  <c r="H110" i="1"/>
  <c r="G110" i="1"/>
  <c r="J110" i="1" s="1"/>
  <c r="I134" i="1"/>
  <c r="H134" i="1"/>
  <c r="G134" i="1"/>
  <c r="J134" i="1" s="1"/>
  <c r="I133" i="1"/>
  <c r="H133" i="1"/>
  <c r="G133" i="1"/>
  <c r="J133" i="1" s="1"/>
  <c r="I132" i="1"/>
  <c r="H132" i="1"/>
  <c r="G132" i="1"/>
  <c r="J132" i="1" s="1"/>
  <c r="I131" i="1"/>
  <c r="H131" i="1"/>
  <c r="G131" i="1"/>
  <c r="J131" i="1" s="1"/>
  <c r="I130" i="1"/>
  <c r="H130" i="1"/>
  <c r="G130" i="1"/>
  <c r="J130" i="1" s="1"/>
  <c r="I129" i="1"/>
  <c r="H129" i="1"/>
  <c r="G129" i="1"/>
  <c r="J129" i="1" s="1"/>
  <c r="I115" i="1"/>
  <c r="H115" i="1"/>
  <c r="G115" i="1"/>
  <c r="J115" i="1" s="1"/>
  <c r="I114" i="1"/>
  <c r="H114" i="1"/>
  <c r="G114" i="1"/>
  <c r="J114" i="1" s="1"/>
  <c r="I96" i="1" l="1"/>
  <c r="H96" i="1"/>
  <c r="G96" i="1"/>
  <c r="J96" i="1" s="1"/>
  <c r="I95" i="1"/>
  <c r="H95" i="1"/>
  <c r="G95" i="1"/>
  <c r="J95" i="1" s="1"/>
  <c r="I94" i="1"/>
  <c r="H94" i="1"/>
  <c r="J94" i="1" s="1"/>
  <c r="G94" i="1"/>
  <c r="I93" i="1"/>
  <c r="H93" i="1"/>
  <c r="J93" i="1" s="1"/>
  <c r="G93" i="1"/>
  <c r="I92" i="1"/>
  <c r="H92" i="1"/>
  <c r="J92" i="1" s="1"/>
  <c r="G92" i="1"/>
  <c r="I91" i="1"/>
  <c r="H91" i="1"/>
  <c r="J91" i="1" s="1"/>
  <c r="G91" i="1"/>
  <c r="I75" i="1"/>
  <c r="H75" i="1"/>
  <c r="G75" i="1"/>
  <c r="J75" i="1" s="1"/>
  <c r="I77" i="1"/>
  <c r="H77" i="1"/>
  <c r="G77" i="1"/>
  <c r="J77" i="1" s="1"/>
  <c r="I76" i="1"/>
  <c r="H76" i="1"/>
  <c r="G76" i="1"/>
  <c r="J76" i="1" s="1"/>
  <c r="I73" i="1"/>
  <c r="H73" i="1"/>
  <c r="G73" i="1"/>
  <c r="J73" i="1" s="1"/>
  <c r="I72" i="1"/>
  <c r="H72" i="1"/>
  <c r="G72" i="1"/>
  <c r="J72" i="1" s="1"/>
  <c r="I58" i="1"/>
  <c r="H58" i="1"/>
  <c r="G58" i="1"/>
  <c r="J58" i="1" s="1"/>
  <c r="I57" i="1"/>
  <c r="H57" i="1"/>
  <c r="G57" i="1"/>
  <c r="J57" i="1" s="1"/>
  <c r="I56" i="1"/>
  <c r="H56" i="1"/>
  <c r="J56" i="1" s="1"/>
  <c r="G56" i="1"/>
  <c r="I55" i="1"/>
  <c r="H55" i="1"/>
  <c r="J55" i="1" s="1"/>
  <c r="G55" i="1"/>
  <c r="I54" i="1"/>
  <c r="H54" i="1"/>
  <c r="J54" i="1" s="1"/>
  <c r="G54" i="1"/>
  <c r="I53" i="1"/>
  <c r="H53" i="1"/>
  <c r="J53" i="1" s="1"/>
  <c r="G53" i="1"/>
  <c r="I40" i="1"/>
  <c r="H40" i="1"/>
  <c r="G40" i="1"/>
  <c r="J40" i="1" s="1"/>
  <c r="I39" i="1"/>
  <c r="H39" i="1"/>
  <c r="G39" i="1"/>
  <c r="J39" i="1" s="1"/>
  <c r="I38" i="1"/>
  <c r="H38" i="1"/>
  <c r="G38" i="1"/>
  <c r="J38" i="1" s="1"/>
  <c r="I37" i="1"/>
  <c r="H37" i="1"/>
  <c r="G37" i="1"/>
  <c r="J37" i="1" s="1"/>
  <c r="I36" i="1"/>
  <c r="H36" i="1"/>
  <c r="G36" i="1"/>
  <c r="J36" i="1" s="1"/>
  <c r="I35" i="1"/>
  <c r="H35" i="1"/>
  <c r="G35" i="1"/>
  <c r="J35" i="1" s="1"/>
  <c r="I34" i="1"/>
  <c r="H34" i="1"/>
  <c r="G34" i="1"/>
  <c r="J34" i="1" s="1"/>
  <c r="I20" i="1"/>
  <c r="H20" i="1"/>
  <c r="G20" i="1"/>
  <c r="J20" i="1" s="1"/>
  <c r="I19" i="1"/>
  <c r="H19" i="1"/>
  <c r="J19" i="1" s="1"/>
  <c r="G19" i="1"/>
  <c r="I21" i="1"/>
  <c r="H21" i="1"/>
  <c r="G21" i="1"/>
  <c r="J21" i="1" s="1"/>
  <c r="I18" i="1"/>
  <c r="H18" i="1"/>
  <c r="G18" i="1"/>
  <c r="J18" i="1" s="1"/>
  <c r="I17" i="1"/>
  <c r="H17" i="1"/>
  <c r="G17" i="1"/>
  <c r="J17" i="1" s="1"/>
  <c r="I16" i="1"/>
  <c r="H16" i="1"/>
  <c r="G16" i="1"/>
  <c r="J16" i="1" s="1"/>
  <c r="I15" i="1"/>
  <c r="H15" i="1"/>
  <c r="G15" i="1"/>
  <c r="J15" i="1" s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</calcChain>
</file>

<file path=xl/sharedStrings.xml><?xml version="1.0" encoding="utf-8"?>
<sst xmlns="http://schemas.openxmlformats.org/spreadsheetml/2006/main" count="309" uniqueCount="110">
  <si>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</si>
  <si>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</si>
  <si>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</si>
  <si>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</si>
  <si>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</si>
  <si>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</si>
  <si>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</si>
  <si>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</si>
  <si>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</si>
  <si>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</si>
  <si>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</si>
  <si>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</si>
  <si>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</si>
  <si>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</si>
  <si>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</si>
  <si>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</si>
  <si>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</si>
  <si>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</si>
  <si>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</si>
  <si>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</si>
  <si>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</si>
  <si>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</si>
  <si>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</si>
  <si>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</si>
  <si>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</si>
  <si>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</si>
  <si>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</si>
  <si>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</si>
  <si>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</si>
  <si>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</si>
  <si>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</si>
  <si>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</si>
  <si>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</si>
  <si>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</si>
  <si>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</si>
  <si>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</si>
  <si>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</si>
  <si>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</si>
  <si>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</si>
  <si>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Борщ с капустой и картофелем </t>
  </si>
  <si>
    <t>Шницель</t>
  </si>
  <si>
    <t xml:space="preserve">Каша пшеничная жидкая </t>
  </si>
  <si>
    <t>Компот из смеси сухофруктов</t>
  </si>
  <si>
    <t>Хлеб ржаной</t>
  </si>
  <si>
    <t>Хлеб пшеничный формовой</t>
  </si>
  <si>
    <t>Соус томатный</t>
  </si>
  <si>
    <t>573/2021г</t>
  </si>
  <si>
    <t>574/2021г</t>
  </si>
  <si>
    <t>39/2008г</t>
  </si>
  <si>
    <t>451/2004г</t>
  </si>
  <si>
    <t>311/2004г</t>
  </si>
  <si>
    <t>495/2021г</t>
  </si>
  <si>
    <t>141/2008г</t>
  </si>
  <si>
    <t xml:space="preserve">Суп картофельный с мак. изделиями </t>
  </si>
  <si>
    <t>Котлеты "Школьные"</t>
  </si>
  <si>
    <t>Картофельное пюре</t>
  </si>
  <si>
    <t>Кофейный напиток</t>
  </si>
  <si>
    <t>46/2008г</t>
  </si>
  <si>
    <t>347/2021г</t>
  </si>
  <si>
    <t>92/2008г</t>
  </si>
  <si>
    <t>464/2021г</t>
  </si>
  <si>
    <t>Суп крестьянский с крупой</t>
  </si>
  <si>
    <t>Котлеты рубленые из птицы</t>
  </si>
  <si>
    <t>Пюре из гороха с маслом</t>
  </si>
  <si>
    <t>Компот из свежих плодов и ягод</t>
  </si>
  <si>
    <t>48/2008г</t>
  </si>
  <si>
    <t>202/2013г</t>
  </si>
  <si>
    <t>389/2021г</t>
  </si>
  <si>
    <t>486/2021г</t>
  </si>
  <si>
    <t>Суп с рыбными консервами</t>
  </si>
  <si>
    <t xml:space="preserve">Плов </t>
  </si>
  <si>
    <t>Напиток из плодов шиповника</t>
  </si>
  <si>
    <t>122/2021г</t>
  </si>
  <si>
    <t>443/2004г</t>
  </si>
  <si>
    <t>496/2021г</t>
  </si>
  <si>
    <t>Рассольник ленинградский</t>
  </si>
  <si>
    <t>Гуляш</t>
  </si>
  <si>
    <t>Макаронные изделия отварные</t>
  </si>
  <si>
    <t>Чай с сахаром</t>
  </si>
  <si>
    <t>100/2021г</t>
  </si>
  <si>
    <t>63/2008г</t>
  </si>
  <si>
    <t>97/2008г</t>
  </si>
  <si>
    <t>457/2021г</t>
  </si>
  <si>
    <t xml:space="preserve">Щи из свежей капусты с картофелем </t>
  </si>
  <si>
    <t>Птица запеченная</t>
  </si>
  <si>
    <t>Рис припущеный</t>
  </si>
  <si>
    <t>41/2008г</t>
  </si>
  <si>
    <t>494/2004г</t>
  </si>
  <si>
    <t>94/2008г</t>
  </si>
  <si>
    <t>Суп картофельный с бобовыми</t>
  </si>
  <si>
    <t>Рагу из птицы</t>
  </si>
  <si>
    <t>47/2008г</t>
  </si>
  <si>
    <t>489/2004г</t>
  </si>
  <si>
    <t>Суп картофельный с клецками</t>
  </si>
  <si>
    <t>Тефтели 2-й вариант</t>
  </si>
  <si>
    <t>Каша гречневая рассыпчатая</t>
  </si>
  <si>
    <t>115/2021г</t>
  </si>
  <si>
    <t>462/2004г</t>
  </si>
  <si>
    <t>202/2021г</t>
  </si>
  <si>
    <t>Суп картофельный с крупой</t>
  </si>
  <si>
    <t>Рыба тушеная с овощами</t>
  </si>
  <si>
    <t>114/2021г</t>
  </si>
  <si>
    <t>84/2008г</t>
  </si>
  <si>
    <t>Биточки особые</t>
  </si>
  <si>
    <t>Капуста тушеная</t>
  </si>
  <si>
    <t>452/2004г</t>
  </si>
  <si>
    <t>534/2004г</t>
  </si>
  <si>
    <t>МБОУ "Малосюгинская СОШ"</t>
  </si>
  <si>
    <t>Генеральнвй директор
ООО "Школьное питание"</t>
  </si>
  <si>
    <t>Колеватов Е.С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</si>
</sst>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center" vertical="center"/>
    </xf>
    <xf numFmtId="2" fontId="2" fillId="4" borderId="2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/>
    </xf>
    <xf numFmtId="0" fontId="2" fillId="2" borderId="24" xfId="0" applyFont="1" applyFill="1" applyBorder="1" applyAlignment="1" applyProtection="1">
      <alignment horizontal="center" vertical="top" wrapText="1"/>
      <protection locked="0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2" fillId="0" borderId="23" xfId="0" applyFont="1" applyBorder="1" applyAlignment="1">
      <alignment horizontal="center" vertical="top" wrapText="1"/>
    </xf>
    <xf numFmtId="0" fontId="2" fillId="3" borderId="22" xfId="0" applyFont="1" applyFill="1" applyBorder="1" applyAlignment="1">
      <alignment horizontal="center" vertical="top" wrapText="1"/>
    </xf>
    <xf numFmtId="0" fontId="11" fillId="4" borderId="25" xfId="0" applyFont="1" applyFill="1" applyBorder="1" applyAlignment="1">
      <alignment horizontal="center" vertical="center"/>
    </xf>
    <xf numFmtId="0" fontId="11" fillId="4" borderId="25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 vertical="top" wrapText="1"/>
    </xf>
    <xf numFmtId="2" fontId="2" fillId="4" borderId="2" xfId="0" applyNumberFormat="1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horizontal="center"/>
    </xf>
    <xf numFmtId="2" fontId="2" fillId="0" borderId="2" xfId="0" applyNumberFormat="1" applyFont="1" applyBorder="1" applyAlignment="1">
      <alignment horizontal="center" vertical="top" wrapText="1"/>
    </xf>
    <xf numFmtId="2" fontId="2" fillId="3" borderId="3" xfId="0" applyNumberFormat="1" applyFont="1" applyFill="1" applyBorder="1" applyAlignment="1">
      <alignment horizontal="center" vertical="top" wrapText="1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0" fontId="11" fillId="4" borderId="17" xfId="0" applyFont="1" applyFill="1" applyBorder="1" applyAlignment="1" applyProtection="1">
      <alignment horizontal="center" vertical="top" wrapText="1"/>
      <protection locked="0"/>
    </xf>
    <xf numFmtId="0" fontId="2" fillId="4" borderId="17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D5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205" sqref="E20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30" customHeight="1" x14ac:dyDescent="0.25">
      <c r="A1" s="1" t="s">
        <v>7</v>
      </c>
      <c r="C1" s="50" t="s">
        <v>107</v>
      </c>
      <c r="D1" s="51"/>
      <c r="E1" s="51"/>
      <c r="F1" s="12" t="s">
        <v>16</v>
      </c>
      <c r="G1" s="2" t="s">
        <v>17</v>
      </c>
      <c r="H1" s="52" t="s">
        <v>108</v>
      </c>
      <c r="I1" s="52"/>
      <c r="J1" s="52"/>
      <c r="K1" s="52"/>
    </row>
    <row r="2" spans="1:12" ht="18" x14ac:dyDescent="0.2">
      <c r="A2" s="34" t="s">
        <v>6</v>
      </c>
      <c r="C2" s="2"/>
      <c r="G2" s="2" t="s">
        <v>18</v>
      </c>
      <c r="H2" s="52" t="s">
        <v>109</v>
      </c>
      <c r="I2" s="52"/>
      <c r="J2" s="52"/>
      <c r="K2" s="52"/>
    </row>
    <row r="3" spans="1:12" ht="17.25" customHeight="1" x14ac:dyDescent="0.2">
      <c r="A3" s="4" t="s">
        <v>8</v>
      </c>
      <c r="C3" s="2"/>
      <c r="D3" s="3"/>
      <c r="E3" s="37" t="s">
        <v>9</v>
      </c>
      <c r="G3" s="2" t="s">
        <v>19</v>
      </c>
      <c r="H3" s="47">
        <v>1</v>
      </c>
      <c r="I3" s="47">
        <v>9</v>
      </c>
      <c r="J3" s="48">
        <v>2023</v>
      </c>
      <c r="K3" s="49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33.75" x14ac:dyDescent="0.2">
      <c r="A5" s="44" t="s">
        <v>14</v>
      </c>
      <c r="B5" s="45" t="s">
        <v>15</v>
      </c>
      <c r="C5" s="35" t="s">
        <v>0</v>
      </c>
      <c r="D5" s="35" t="s">
        <v>13</v>
      </c>
      <c r="E5" s="35" t="s">
        <v>12</v>
      </c>
      <c r="F5" s="35" t="s">
        <v>34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8"/>
      <c r="F6" s="39"/>
      <c r="G6" s="39"/>
      <c r="H6" s="39"/>
      <c r="I6" s="39"/>
      <c r="J6" s="39"/>
      <c r="K6" s="40"/>
      <c r="L6" s="62"/>
    </row>
    <row r="7" spans="1:12" ht="15" x14ac:dyDescent="0.25">
      <c r="A7" s="23"/>
      <c r="B7" s="15"/>
      <c r="C7" s="11"/>
      <c r="D7" s="6"/>
      <c r="E7" s="41"/>
      <c r="F7" s="42"/>
      <c r="G7" s="42"/>
      <c r="H7" s="42"/>
      <c r="I7" s="42"/>
      <c r="J7" s="42"/>
      <c r="K7" s="43"/>
      <c r="L7" s="63"/>
    </row>
    <row r="8" spans="1:12" ht="15" x14ac:dyDescent="0.25">
      <c r="A8" s="23"/>
      <c r="B8" s="15"/>
      <c r="C8" s="11"/>
      <c r="D8" s="7" t="s">
        <v>22</v>
      </c>
      <c r="E8" s="41"/>
      <c r="F8" s="42"/>
      <c r="G8" s="42"/>
      <c r="H8" s="42"/>
      <c r="I8" s="42"/>
      <c r="J8" s="42"/>
      <c r="K8" s="43"/>
      <c r="L8" s="63"/>
    </row>
    <row r="9" spans="1:12" ht="15" x14ac:dyDescent="0.25">
      <c r="A9" s="23"/>
      <c r="B9" s="15"/>
      <c r="C9" s="11"/>
      <c r="D9" s="7" t="s">
        <v>23</v>
      </c>
      <c r="E9" s="41"/>
      <c r="F9" s="42"/>
      <c r="G9" s="42"/>
      <c r="H9" s="42"/>
      <c r="I9" s="42"/>
      <c r="J9" s="42"/>
      <c r="K9" s="43"/>
      <c r="L9" s="63"/>
    </row>
    <row r="10" spans="1:12" ht="15" x14ac:dyDescent="0.25">
      <c r="A10" s="23"/>
      <c r="B10" s="15"/>
      <c r="C10" s="11"/>
      <c r="D10" s="7" t="s">
        <v>24</v>
      </c>
      <c r="E10" s="41"/>
      <c r="F10" s="42"/>
      <c r="G10" s="42"/>
      <c r="H10" s="42"/>
      <c r="I10" s="42"/>
      <c r="J10" s="42"/>
      <c r="K10" s="43"/>
      <c r="L10" s="63"/>
    </row>
    <row r="11" spans="1:12" ht="15" x14ac:dyDescent="0.25">
      <c r="A11" s="23"/>
      <c r="B11" s="15"/>
      <c r="C11" s="11"/>
      <c r="D11" s="6"/>
      <c r="E11" s="41"/>
      <c r="F11" s="42"/>
      <c r="G11" s="42"/>
      <c r="H11" s="42"/>
      <c r="I11" s="42"/>
      <c r="J11" s="42"/>
      <c r="K11" s="43"/>
      <c r="L11" s="63"/>
    </row>
    <row r="12" spans="1:12" ht="15" x14ac:dyDescent="0.2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6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64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1"/>
      <c r="F14" s="42"/>
      <c r="G14" s="42"/>
      <c r="H14" s="42"/>
      <c r="I14" s="42"/>
      <c r="J14" s="42"/>
      <c r="K14" s="43"/>
      <c r="L14" s="63"/>
    </row>
    <row r="15" spans="1:12" ht="15" x14ac:dyDescent="0.25">
      <c r="A15" s="23"/>
      <c r="B15" s="15"/>
      <c r="C15" s="11"/>
      <c r="D15" s="7" t="s">
        <v>27</v>
      </c>
      <c r="E15" s="56" t="s">
        <v>39</v>
      </c>
      <c r="F15" s="57">
        <v>200</v>
      </c>
      <c r="G15" s="58">
        <f>F15*0.8/100</f>
        <v>1.6</v>
      </c>
      <c r="H15" s="58">
        <f>F15*2.08/100</f>
        <v>4.16</v>
      </c>
      <c r="I15" s="58">
        <f>F15*5.24/100</f>
        <v>10.48</v>
      </c>
      <c r="J15" s="58">
        <f>G15*4+H15*9+I15*4</f>
        <v>85.759999999999991</v>
      </c>
      <c r="K15" s="66" t="s">
        <v>48</v>
      </c>
      <c r="L15" s="63"/>
    </row>
    <row r="16" spans="1:12" ht="15" x14ac:dyDescent="0.25">
      <c r="A16" s="23"/>
      <c r="B16" s="15"/>
      <c r="C16" s="11"/>
      <c r="D16" s="7" t="s">
        <v>28</v>
      </c>
      <c r="E16" s="56" t="s">
        <v>40</v>
      </c>
      <c r="F16" s="59">
        <v>90</v>
      </c>
      <c r="G16" s="58">
        <f>F16*15.9/100</f>
        <v>14.31</v>
      </c>
      <c r="H16" s="58">
        <f>F16*14.4/100</f>
        <v>12.96</v>
      </c>
      <c r="I16" s="58">
        <f>F16*16/100</f>
        <v>14.4</v>
      </c>
      <c r="J16" s="58">
        <f>G16*4+H16*9+I16*4</f>
        <v>231.48000000000002</v>
      </c>
      <c r="K16" s="66" t="s">
        <v>49</v>
      </c>
      <c r="L16" s="63"/>
    </row>
    <row r="17" spans="1:12" ht="15" x14ac:dyDescent="0.25">
      <c r="A17" s="23"/>
      <c r="B17" s="15"/>
      <c r="C17" s="11"/>
      <c r="D17" s="7" t="s">
        <v>29</v>
      </c>
      <c r="E17" s="60" t="s">
        <v>41</v>
      </c>
      <c r="F17" s="59">
        <v>150</v>
      </c>
      <c r="G17" s="58">
        <f>F17*2.18/100</f>
        <v>3.27</v>
      </c>
      <c r="H17" s="58">
        <f>F17*1.82/100</f>
        <v>2.73</v>
      </c>
      <c r="I17" s="58">
        <f>F17*12.39/100</f>
        <v>18.585000000000001</v>
      </c>
      <c r="J17" s="58">
        <f>G17*4+H17*9+I17*4</f>
        <v>111.99000000000001</v>
      </c>
      <c r="K17" s="66" t="s">
        <v>50</v>
      </c>
      <c r="L17" s="63"/>
    </row>
    <row r="18" spans="1:12" ht="15" x14ac:dyDescent="0.25">
      <c r="A18" s="23"/>
      <c r="B18" s="15"/>
      <c r="C18" s="11"/>
      <c r="D18" s="7" t="s">
        <v>30</v>
      </c>
      <c r="E18" s="56" t="s">
        <v>42</v>
      </c>
      <c r="F18" s="59">
        <v>200</v>
      </c>
      <c r="G18" s="58">
        <f>F18*0.6/200</f>
        <v>0.6</v>
      </c>
      <c r="H18" s="58">
        <f>F18*0.1/200</f>
        <v>0.1</v>
      </c>
      <c r="I18" s="58">
        <f>F18*20.1/200</f>
        <v>20.100000000000001</v>
      </c>
      <c r="J18" s="58">
        <f>G18*4+H18*9+I18*4</f>
        <v>83.7</v>
      </c>
      <c r="K18" s="66" t="s">
        <v>51</v>
      </c>
      <c r="L18" s="63"/>
    </row>
    <row r="19" spans="1:12" ht="15" x14ac:dyDescent="0.25">
      <c r="A19" s="23"/>
      <c r="B19" s="15"/>
      <c r="C19" s="11"/>
      <c r="D19" s="7" t="s">
        <v>31</v>
      </c>
      <c r="E19" s="61" t="s">
        <v>44</v>
      </c>
      <c r="F19" s="57">
        <v>45</v>
      </c>
      <c r="G19" s="58">
        <f>F19*7.6/100</f>
        <v>3.42</v>
      </c>
      <c r="H19" s="58">
        <f>F19*0.8/100</f>
        <v>0.36</v>
      </c>
      <c r="I19" s="58">
        <f>F19*49.2/100</f>
        <v>22.14</v>
      </c>
      <c r="J19" s="58">
        <f>G19*4+H19*9+I19*4</f>
        <v>105.48</v>
      </c>
      <c r="K19" s="67" t="s">
        <v>46</v>
      </c>
      <c r="L19" s="63"/>
    </row>
    <row r="20" spans="1:12" ht="15" x14ac:dyDescent="0.25">
      <c r="A20" s="23"/>
      <c r="B20" s="15"/>
      <c r="C20" s="11"/>
      <c r="D20" s="7" t="s">
        <v>32</v>
      </c>
      <c r="E20" s="61" t="s">
        <v>43</v>
      </c>
      <c r="F20" s="57">
        <v>20</v>
      </c>
      <c r="G20" s="58">
        <f>F20*8/100</f>
        <v>1.6</v>
      </c>
      <c r="H20" s="58">
        <f>F20*1.5/100</f>
        <v>0.3</v>
      </c>
      <c r="I20" s="58">
        <f>F20*40.1/100</f>
        <v>8.02</v>
      </c>
      <c r="J20" s="58">
        <f>G20*4+H20*9+I20*4</f>
        <v>41.18</v>
      </c>
      <c r="K20" s="67" t="s">
        <v>47</v>
      </c>
      <c r="L20" s="63"/>
    </row>
    <row r="21" spans="1:12" ht="15" x14ac:dyDescent="0.25">
      <c r="A21" s="23"/>
      <c r="B21" s="15"/>
      <c r="C21" s="11"/>
      <c r="D21" s="6"/>
      <c r="E21" s="56" t="s">
        <v>45</v>
      </c>
      <c r="F21" s="59">
        <v>40</v>
      </c>
      <c r="G21" s="58">
        <f>F21*1.3/50</f>
        <v>1.04</v>
      </c>
      <c r="H21" s="58">
        <f>F21*4.8/50</f>
        <v>3.84</v>
      </c>
      <c r="I21" s="58">
        <f>F21*4.7/50</f>
        <v>3.76</v>
      </c>
      <c r="J21" s="58">
        <f>G21*4+H21*9+I21*4</f>
        <v>53.76</v>
      </c>
      <c r="K21" s="66" t="s">
        <v>52</v>
      </c>
      <c r="L21" s="63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6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745</v>
      </c>
      <c r="G23" s="19">
        <f t="shared" ref="G23:J23" si="2">SUM(G14:G22)</f>
        <v>25.840000000000003</v>
      </c>
      <c r="H23" s="19">
        <f t="shared" si="2"/>
        <v>24.450000000000003</v>
      </c>
      <c r="I23" s="19">
        <f t="shared" si="2"/>
        <v>97.485000000000014</v>
      </c>
      <c r="J23" s="19">
        <f t="shared" si="2"/>
        <v>713.35</v>
      </c>
      <c r="K23" s="25"/>
      <c r="L23" s="64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745</v>
      </c>
      <c r="G24" s="32">
        <f t="shared" ref="G24:J24" si="4">G13+G23</f>
        <v>25.840000000000003</v>
      </c>
      <c r="H24" s="32">
        <f t="shared" si="4"/>
        <v>24.450000000000003</v>
      </c>
      <c r="I24" s="32">
        <f t="shared" si="4"/>
        <v>97.485000000000014</v>
      </c>
      <c r="J24" s="32">
        <f t="shared" si="4"/>
        <v>713.35</v>
      </c>
      <c r="K24" s="68"/>
      <c r="L24" s="65">
        <f t="shared" ref="L24" si="5">L13+L23</f>
        <v>0</v>
      </c>
    </row>
    <row r="25" spans="1:12" ht="15" x14ac:dyDescent="0.25">
      <c r="A25" s="20">
        <v>1</v>
      </c>
      <c r="B25" s="21">
        <v>2</v>
      </c>
      <c r="C25" s="22" t="s">
        <v>20</v>
      </c>
      <c r="D25" s="5" t="s">
        <v>21</v>
      </c>
      <c r="E25" s="38"/>
      <c r="F25" s="39"/>
      <c r="G25" s="39"/>
      <c r="H25" s="39"/>
      <c r="I25" s="39"/>
      <c r="J25" s="39"/>
      <c r="K25" s="40"/>
      <c r="L25" s="62"/>
    </row>
    <row r="26" spans="1:12" ht="15" x14ac:dyDescent="0.25">
      <c r="A26" s="23"/>
      <c r="B26" s="15"/>
      <c r="C26" s="11"/>
      <c r="D26" s="6"/>
      <c r="E26" s="41"/>
      <c r="F26" s="42"/>
      <c r="G26" s="42"/>
      <c r="H26" s="42"/>
      <c r="I26" s="42"/>
      <c r="J26" s="42"/>
      <c r="K26" s="43"/>
      <c r="L26" s="63"/>
    </row>
    <row r="27" spans="1:12" ht="15" x14ac:dyDescent="0.25">
      <c r="A27" s="23"/>
      <c r="B27" s="15"/>
      <c r="C27" s="11"/>
      <c r="D27" s="7" t="s">
        <v>22</v>
      </c>
      <c r="E27" s="41"/>
      <c r="F27" s="42"/>
      <c r="G27" s="42"/>
      <c r="H27" s="42"/>
      <c r="I27" s="42"/>
      <c r="J27" s="42"/>
      <c r="K27" s="43"/>
      <c r="L27" s="63"/>
    </row>
    <row r="28" spans="1:12" ht="15" x14ac:dyDescent="0.25">
      <c r="A28" s="23"/>
      <c r="B28" s="15"/>
      <c r="C28" s="11"/>
      <c r="D28" s="7" t="s">
        <v>23</v>
      </c>
      <c r="E28" s="41"/>
      <c r="F28" s="42"/>
      <c r="G28" s="42"/>
      <c r="H28" s="42"/>
      <c r="I28" s="42"/>
      <c r="J28" s="42"/>
      <c r="K28" s="43"/>
      <c r="L28" s="63"/>
    </row>
    <row r="29" spans="1:12" ht="15" x14ac:dyDescent="0.25">
      <c r="A29" s="23"/>
      <c r="B29" s="15"/>
      <c r="C29" s="11"/>
      <c r="D29" s="7" t="s">
        <v>24</v>
      </c>
      <c r="E29" s="41"/>
      <c r="F29" s="42"/>
      <c r="G29" s="42"/>
      <c r="H29" s="42"/>
      <c r="I29" s="42"/>
      <c r="J29" s="42"/>
      <c r="K29" s="43"/>
      <c r="L29" s="63"/>
    </row>
    <row r="30" spans="1:12" ht="15" x14ac:dyDescent="0.25">
      <c r="A30" s="23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63"/>
    </row>
    <row r="31" spans="1:12" ht="15" x14ac:dyDescent="0.25">
      <c r="A31" s="23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63"/>
    </row>
    <row r="32" spans="1:12" ht="15" x14ac:dyDescent="0.25">
      <c r="A32" s="24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64">
        <f t="shared" si="9"/>
        <v>0</v>
      </c>
    </row>
    <row r="33" spans="1:12" ht="15" x14ac:dyDescent="0.25">
      <c r="A33" s="26">
        <f>A25</f>
        <v>1</v>
      </c>
      <c r="B33" s="13">
        <f>B25</f>
        <v>2</v>
      </c>
      <c r="C33" s="10" t="s">
        <v>25</v>
      </c>
      <c r="D33" s="7" t="s">
        <v>26</v>
      </c>
      <c r="E33" s="41"/>
      <c r="F33" s="42"/>
      <c r="G33" s="42"/>
      <c r="H33" s="42"/>
      <c r="I33" s="42"/>
      <c r="J33" s="42"/>
      <c r="K33" s="43"/>
      <c r="L33" s="63"/>
    </row>
    <row r="34" spans="1:12" ht="15" x14ac:dyDescent="0.25">
      <c r="A34" s="23"/>
      <c r="B34" s="15"/>
      <c r="C34" s="11"/>
      <c r="D34" s="7" t="s">
        <v>27</v>
      </c>
      <c r="E34" s="60" t="s">
        <v>53</v>
      </c>
      <c r="F34" s="57">
        <v>200</v>
      </c>
      <c r="G34" s="69">
        <f>F34*2.9/250</f>
        <v>2.3199999999999998</v>
      </c>
      <c r="H34" s="69">
        <f>F34*2.5/250</f>
        <v>2</v>
      </c>
      <c r="I34" s="69">
        <f>F34*21/250</f>
        <v>16.8</v>
      </c>
      <c r="J34" s="69">
        <f>G34*4+H34*9+I34*4</f>
        <v>94.48</v>
      </c>
      <c r="K34" s="70" t="s">
        <v>57</v>
      </c>
      <c r="L34" s="63"/>
    </row>
    <row r="35" spans="1:12" ht="15" x14ac:dyDescent="0.25">
      <c r="A35" s="23"/>
      <c r="B35" s="15"/>
      <c r="C35" s="11"/>
      <c r="D35" s="7" t="s">
        <v>28</v>
      </c>
      <c r="E35" s="60" t="s">
        <v>54</v>
      </c>
      <c r="F35" s="59">
        <v>90</v>
      </c>
      <c r="G35" s="58">
        <f>F35*15.3/100</f>
        <v>13.77</v>
      </c>
      <c r="H35" s="58">
        <f>F35*11/100</f>
        <v>9.9</v>
      </c>
      <c r="I35" s="58">
        <f>F35*13.3/100</f>
        <v>11.97</v>
      </c>
      <c r="J35" s="69">
        <f>G35*4+H35*9+I35*4</f>
        <v>192.06</v>
      </c>
      <c r="K35" s="70" t="s">
        <v>58</v>
      </c>
      <c r="L35" s="63"/>
    </row>
    <row r="36" spans="1:12" ht="15" x14ac:dyDescent="0.25">
      <c r="A36" s="23"/>
      <c r="B36" s="15"/>
      <c r="C36" s="11"/>
      <c r="D36" s="7" t="s">
        <v>29</v>
      </c>
      <c r="E36" s="56" t="s">
        <v>55</v>
      </c>
      <c r="F36" s="59">
        <v>150</v>
      </c>
      <c r="G36" s="58">
        <f>F36*2.1/100</f>
        <v>3.15</v>
      </c>
      <c r="H36" s="58">
        <f>F36*3.5/100</f>
        <v>5.25</v>
      </c>
      <c r="I36" s="58">
        <f>F36*14.6/100</f>
        <v>21.9</v>
      </c>
      <c r="J36" s="58">
        <f>G36*4+H36*9+I36*4</f>
        <v>147.44999999999999</v>
      </c>
      <c r="K36" s="70" t="s">
        <v>59</v>
      </c>
      <c r="L36" s="63"/>
    </row>
    <row r="37" spans="1:12" ht="15" x14ac:dyDescent="0.25">
      <c r="A37" s="23"/>
      <c r="B37" s="15"/>
      <c r="C37" s="11"/>
      <c r="D37" s="7" t="s">
        <v>30</v>
      </c>
      <c r="E37" s="56" t="s">
        <v>56</v>
      </c>
      <c r="F37" s="59">
        <v>200</v>
      </c>
      <c r="G37" s="58">
        <f>F37*1.4/200</f>
        <v>1.4</v>
      </c>
      <c r="H37" s="58">
        <f>F37*1.2/200</f>
        <v>1.2</v>
      </c>
      <c r="I37" s="58">
        <f>F37*11.4/200</f>
        <v>11.4</v>
      </c>
      <c r="J37" s="58">
        <f>G37*4+H37*9+I37*4</f>
        <v>62</v>
      </c>
      <c r="K37" s="70" t="s">
        <v>60</v>
      </c>
      <c r="L37" s="63"/>
    </row>
    <row r="38" spans="1:12" ht="15" x14ac:dyDescent="0.25">
      <c r="A38" s="23"/>
      <c r="B38" s="15"/>
      <c r="C38" s="11"/>
      <c r="D38" s="7" t="s">
        <v>31</v>
      </c>
      <c r="E38" s="61" t="s">
        <v>44</v>
      </c>
      <c r="F38" s="57">
        <v>50</v>
      </c>
      <c r="G38" s="58">
        <f>F38*7.6/100</f>
        <v>3.8</v>
      </c>
      <c r="H38" s="58">
        <f>F38*0.8/100</f>
        <v>0.4</v>
      </c>
      <c r="I38" s="58">
        <f>F38*49.2/100</f>
        <v>24.6</v>
      </c>
      <c r="J38" s="58">
        <f>G38*4+H38*9+I38*4</f>
        <v>117.2</v>
      </c>
      <c r="K38" s="71" t="s">
        <v>46</v>
      </c>
      <c r="L38" s="63"/>
    </row>
    <row r="39" spans="1:12" ht="15" x14ac:dyDescent="0.25">
      <c r="A39" s="23"/>
      <c r="B39" s="15"/>
      <c r="C39" s="11"/>
      <c r="D39" s="7" t="s">
        <v>32</v>
      </c>
      <c r="E39" s="61" t="s">
        <v>43</v>
      </c>
      <c r="F39" s="57">
        <v>20</v>
      </c>
      <c r="G39" s="58">
        <f>F39*8/100</f>
        <v>1.6</v>
      </c>
      <c r="H39" s="58">
        <f>F39*1.5/100</f>
        <v>0.3</v>
      </c>
      <c r="I39" s="58">
        <f>F39*40.1/100</f>
        <v>8.02</v>
      </c>
      <c r="J39" s="58">
        <f>G39*4+H39*9+I39*4</f>
        <v>41.18</v>
      </c>
      <c r="K39" s="71" t="s">
        <v>47</v>
      </c>
      <c r="L39" s="63"/>
    </row>
    <row r="40" spans="1:12" ht="15" x14ac:dyDescent="0.25">
      <c r="A40" s="23"/>
      <c r="B40" s="15"/>
      <c r="C40" s="11"/>
      <c r="D40" s="6"/>
      <c r="E40" s="56" t="s">
        <v>45</v>
      </c>
      <c r="F40" s="59">
        <v>40</v>
      </c>
      <c r="G40" s="58">
        <f>F40*1.3/50</f>
        <v>1.04</v>
      </c>
      <c r="H40" s="58">
        <f>F40*4.8/50</f>
        <v>3.84</v>
      </c>
      <c r="I40" s="58">
        <f>F40*4.7/50</f>
        <v>3.76</v>
      </c>
      <c r="J40" s="58">
        <f>G40*4+H40*9+I40*4</f>
        <v>53.76</v>
      </c>
      <c r="K40" s="70" t="s">
        <v>52</v>
      </c>
      <c r="L40" s="63"/>
    </row>
    <row r="41" spans="1:12" ht="15" x14ac:dyDescent="0.25">
      <c r="A41" s="23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63"/>
    </row>
    <row r="42" spans="1:12" ht="15" x14ac:dyDescent="0.25">
      <c r="A42" s="24"/>
      <c r="B42" s="17"/>
      <c r="C42" s="8"/>
      <c r="D42" s="18" t="s">
        <v>33</v>
      </c>
      <c r="E42" s="9"/>
      <c r="F42" s="19">
        <f>SUM(F33:F41)</f>
        <v>750</v>
      </c>
      <c r="G42" s="19">
        <f t="shared" ref="G42" si="10">SUM(G33:G41)</f>
        <v>27.08</v>
      </c>
      <c r="H42" s="19">
        <f t="shared" ref="H42" si="11">SUM(H33:H41)</f>
        <v>22.889999999999997</v>
      </c>
      <c r="I42" s="19">
        <f t="shared" ref="I42" si="12">SUM(I33:I41)</f>
        <v>98.45</v>
      </c>
      <c r="J42" s="19">
        <f t="shared" ref="J42:L42" si="13">SUM(J33:J41)</f>
        <v>708.13</v>
      </c>
      <c r="K42" s="25"/>
      <c r="L42" s="64">
        <f t="shared" si="13"/>
        <v>0</v>
      </c>
    </row>
    <row r="43" spans="1:12" ht="15.75" customHeight="1" thickBot="1" x14ac:dyDescent="0.25">
      <c r="A43" s="29">
        <f>A25</f>
        <v>1</v>
      </c>
      <c r="B43" s="30">
        <f>B25</f>
        <v>2</v>
      </c>
      <c r="C43" s="53" t="s">
        <v>4</v>
      </c>
      <c r="D43" s="54"/>
      <c r="E43" s="31"/>
      <c r="F43" s="32">
        <f>F32+F42</f>
        <v>750</v>
      </c>
      <c r="G43" s="32">
        <f t="shared" ref="G43" si="14">G32+G42</f>
        <v>27.08</v>
      </c>
      <c r="H43" s="32">
        <f t="shared" ref="H43" si="15">H32+H42</f>
        <v>22.889999999999997</v>
      </c>
      <c r="I43" s="32">
        <f t="shared" ref="I43" si="16">I32+I42</f>
        <v>98.45</v>
      </c>
      <c r="J43" s="32">
        <f t="shared" ref="J43:L43" si="17">J32+J42</f>
        <v>708.13</v>
      </c>
      <c r="K43" s="68"/>
      <c r="L43" s="65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8"/>
      <c r="F44" s="39"/>
      <c r="G44" s="39"/>
      <c r="H44" s="39"/>
      <c r="I44" s="39"/>
      <c r="J44" s="39"/>
      <c r="K44" s="40"/>
      <c r="L44" s="62"/>
    </row>
    <row r="45" spans="1:12" ht="15" x14ac:dyDescent="0.25">
      <c r="A45" s="23"/>
      <c r="B45" s="15"/>
      <c r="C45" s="11"/>
      <c r="D45" s="6"/>
      <c r="E45" s="41"/>
      <c r="F45" s="42"/>
      <c r="G45" s="42"/>
      <c r="H45" s="42"/>
      <c r="I45" s="42"/>
      <c r="J45" s="42"/>
      <c r="K45" s="43"/>
      <c r="L45" s="63"/>
    </row>
    <row r="46" spans="1:12" ht="15" x14ac:dyDescent="0.25">
      <c r="A46" s="23"/>
      <c r="B46" s="15"/>
      <c r="C46" s="11"/>
      <c r="D46" s="7" t="s">
        <v>22</v>
      </c>
      <c r="E46" s="41"/>
      <c r="F46" s="42"/>
      <c r="G46" s="42"/>
      <c r="H46" s="42"/>
      <c r="I46" s="42"/>
      <c r="J46" s="42"/>
      <c r="K46" s="43"/>
      <c r="L46" s="63"/>
    </row>
    <row r="47" spans="1:12" ht="15" x14ac:dyDescent="0.25">
      <c r="A47" s="23"/>
      <c r="B47" s="15"/>
      <c r="C47" s="11"/>
      <c r="D47" s="7" t="s">
        <v>23</v>
      </c>
      <c r="E47" s="41"/>
      <c r="F47" s="42"/>
      <c r="G47" s="42"/>
      <c r="H47" s="42"/>
      <c r="I47" s="42"/>
      <c r="J47" s="42"/>
      <c r="K47" s="43"/>
      <c r="L47" s="63"/>
    </row>
    <row r="48" spans="1:12" ht="15" x14ac:dyDescent="0.25">
      <c r="A48" s="23"/>
      <c r="B48" s="15"/>
      <c r="C48" s="11"/>
      <c r="D48" s="7" t="s">
        <v>24</v>
      </c>
      <c r="E48" s="41"/>
      <c r="F48" s="42"/>
      <c r="G48" s="42"/>
      <c r="H48" s="42"/>
      <c r="I48" s="42"/>
      <c r="J48" s="42"/>
      <c r="K48" s="43"/>
      <c r="L48" s="63"/>
    </row>
    <row r="49" spans="1:12" ht="15" x14ac:dyDescent="0.25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63"/>
    </row>
    <row r="50" spans="1:12" ht="15" x14ac:dyDescent="0.2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6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64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1"/>
      <c r="F52" s="42"/>
      <c r="G52" s="42"/>
      <c r="H52" s="42"/>
      <c r="I52" s="42"/>
      <c r="J52" s="42"/>
      <c r="K52" s="43"/>
      <c r="L52" s="63"/>
    </row>
    <row r="53" spans="1:12" ht="15" x14ac:dyDescent="0.25">
      <c r="A53" s="23"/>
      <c r="B53" s="15"/>
      <c r="C53" s="11"/>
      <c r="D53" s="7" t="s">
        <v>27</v>
      </c>
      <c r="E53" s="56" t="s">
        <v>61</v>
      </c>
      <c r="F53" s="57">
        <v>200</v>
      </c>
      <c r="G53" s="69">
        <f>F53*2.6/250</f>
        <v>2.08</v>
      </c>
      <c r="H53" s="69">
        <f>F53*5.3/250</f>
        <v>4.24</v>
      </c>
      <c r="I53" s="69">
        <f>F53*14.3/250</f>
        <v>11.44</v>
      </c>
      <c r="J53" s="69">
        <f>G53*4+H53*9+I53*4</f>
        <v>92.240000000000009</v>
      </c>
      <c r="K53" s="70" t="s">
        <v>65</v>
      </c>
      <c r="L53" s="63"/>
    </row>
    <row r="54" spans="1:12" ht="15" x14ac:dyDescent="0.25">
      <c r="A54" s="23"/>
      <c r="B54" s="15"/>
      <c r="C54" s="11"/>
      <c r="D54" s="7" t="s">
        <v>28</v>
      </c>
      <c r="E54" s="60" t="s">
        <v>62</v>
      </c>
      <c r="F54" s="59">
        <v>90</v>
      </c>
      <c r="G54" s="58">
        <f>F54*12.64/80</f>
        <v>14.220000000000002</v>
      </c>
      <c r="H54" s="58">
        <f>F54*13.14/80</f>
        <v>14.782500000000002</v>
      </c>
      <c r="I54" s="58">
        <f>F54*7.23/80</f>
        <v>8.1337500000000009</v>
      </c>
      <c r="J54" s="58">
        <f>G54*4+H54*9+I54*4</f>
        <v>222.45750000000001</v>
      </c>
      <c r="K54" s="70" t="s">
        <v>66</v>
      </c>
      <c r="L54" s="63"/>
    </row>
    <row r="55" spans="1:12" ht="15" x14ac:dyDescent="0.25">
      <c r="A55" s="23"/>
      <c r="B55" s="15"/>
      <c r="C55" s="11"/>
      <c r="D55" s="7" t="s">
        <v>29</v>
      </c>
      <c r="E55" s="60" t="s">
        <v>63</v>
      </c>
      <c r="F55" s="59">
        <v>150</v>
      </c>
      <c r="G55" s="58">
        <f>F55*11/100</f>
        <v>16.5</v>
      </c>
      <c r="H55" s="58">
        <f>F55*2.5/100</f>
        <v>3.75</v>
      </c>
      <c r="I55" s="58">
        <f>F55*19.85/100</f>
        <v>29.774999999999999</v>
      </c>
      <c r="J55" s="58">
        <f>G55*4+H55*9+I55*4</f>
        <v>218.85</v>
      </c>
      <c r="K55" s="70" t="s">
        <v>67</v>
      </c>
      <c r="L55" s="63"/>
    </row>
    <row r="56" spans="1:12" ht="15" x14ac:dyDescent="0.25">
      <c r="A56" s="23"/>
      <c r="B56" s="15"/>
      <c r="C56" s="11"/>
      <c r="D56" s="7" t="s">
        <v>30</v>
      </c>
      <c r="E56" s="56" t="s">
        <v>64</v>
      </c>
      <c r="F56" s="59">
        <v>200</v>
      </c>
      <c r="G56" s="58">
        <f>F56*0.05/100</f>
        <v>0.1</v>
      </c>
      <c r="H56" s="58">
        <f>F56*0.05/100</f>
        <v>0.1</v>
      </c>
      <c r="I56" s="58">
        <f>F56*5.55/100</f>
        <v>11.1</v>
      </c>
      <c r="J56" s="58">
        <f>G56*4+H56*9+I56*4</f>
        <v>45.699999999999996</v>
      </c>
      <c r="K56" s="70" t="s">
        <v>68</v>
      </c>
      <c r="L56" s="63"/>
    </row>
    <row r="57" spans="1:12" ht="15" x14ac:dyDescent="0.25">
      <c r="A57" s="23"/>
      <c r="B57" s="15"/>
      <c r="C57" s="11"/>
      <c r="D57" s="7" t="s">
        <v>31</v>
      </c>
      <c r="E57" s="61" t="s">
        <v>44</v>
      </c>
      <c r="F57" s="57">
        <v>40</v>
      </c>
      <c r="G57" s="58">
        <f>F57*7.6/100</f>
        <v>3.04</v>
      </c>
      <c r="H57" s="58">
        <f>F57*0.8/100</f>
        <v>0.32</v>
      </c>
      <c r="I57" s="58">
        <f>F57*49.2/100</f>
        <v>19.68</v>
      </c>
      <c r="J57" s="58">
        <f>G57*4+H57*9+I57*4</f>
        <v>93.759999999999991</v>
      </c>
      <c r="K57" s="71" t="s">
        <v>46</v>
      </c>
      <c r="L57" s="63"/>
    </row>
    <row r="58" spans="1:12" ht="15" x14ac:dyDescent="0.25">
      <c r="A58" s="23"/>
      <c r="B58" s="15"/>
      <c r="C58" s="11"/>
      <c r="D58" s="7" t="s">
        <v>32</v>
      </c>
      <c r="E58" s="61" t="s">
        <v>43</v>
      </c>
      <c r="F58" s="57">
        <v>20</v>
      </c>
      <c r="G58" s="58">
        <f>F58*8/100</f>
        <v>1.6</v>
      </c>
      <c r="H58" s="58">
        <f>F58*1.5/100</f>
        <v>0.3</v>
      </c>
      <c r="I58" s="58">
        <f>F58*40.1/100</f>
        <v>8.02</v>
      </c>
      <c r="J58" s="58">
        <f>G58*4+H58*9+I58*4</f>
        <v>41.18</v>
      </c>
      <c r="K58" s="71" t="s">
        <v>47</v>
      </c>
      <c r="L58" s="63"/>
    </row>
    <row r="59" spans="1:12" ht="15" x14ac:dyDescent="0.2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63"/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6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700</v>
      </c>
      <c r="G61" s="72">
        <f t="shared" ref="G61" si="22">SUM(G52:G60)</f>
        <v>37.540000000000006</v>
      </c>
      <c r="H61" s="72">
        <f t="shared" ref="H61" si="23">SUM(H52:H60)</f>
        <v>23.492500000000003</v>
      </c>
      <c r="I61" s="72">
        <f t="shared" ref="I61" si="24">SUM(I52:I60)</f>
        <v>88.148749999999993</v>
      </c>
      <c r="J61" s="72">
        <f t="shared" ref="J61:L61" si="25">SUM(J52:J60)</f>
        <v>714.1875</v>
      </c>
      <c r="K61" s="25"/>
      <c r="L61" s="64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700</v>
      </c>
      <c r="G62" s="73">
        <f t="shared" ref="G62" si="26">G51+G61</f>
        <v>37.540000000000006</v>
      </c>
      <c r="H62" s="73">
        <f t="shared" ref="H62" si="27">H51+H61</f>
        <v>23.492500000000003</v>
      </c>
      <c r="I62" s="73">
        <f t="shared" ref="I62" si="28">I51+I61</f>
        <v>88.148749999999993</v>
      </c>
      <c r="J62" s="73">
        <f t="shared" ref="J62:L62" si="29">J51+J61</f>
        <v>714.1875</v>
      </c>
      <c r="K62" s="68"/>
      <c r="L62" s="65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8"/>
      <c r="F63" s="39"/>
      <c r="G63" s="39"/>
      <c r="H63" s="39"/>
      <c r="I63" s="39"/>
      <c r="J63" s="39"/>
      <c r="K63" s="40"/>
      <c r="L63" s="62"/>
    </row>
    <row r="64" spans="1:12" ht="15" x14ac:dyDescent="0.25">
      <c r="A64" s="23"/>
      <c r="B64" s="15"/>
      <c r="C64" s="11"/>
      <c r="D64" s="6"/>
      <c r="E64" s="41"/>
      <c r="F64" s="42"/>
      <c r="G64" s="42"/>
      <c r="H64" s="42"/>
      <c r="I64" s="42"/>
      <c r="J64" s="42"/>
      <c r="K64" s="43"/>
      <c r="L64" s="63"/>
    </row>
    <row r="65" spans="1:12" ht="15" x14ac:dyDescent="0.25">
      <c r="A65" s="23"/>
      <c r="B65" s="15"/>
      <c r="C65" s="11"/>
      <c r="D65" s="7" t="s">
        <v>22</v>
      </c>
      <c r="E65" s="41"/>
      <c r="F65" s="42"/>
      <c r="G65" s="42"/>
      <c r="H65" s="42"/>
      <c r="I65" s="42"/>
      <c r="J65" s="42"/>
      <c r="K65" s="43"/>
      <c r="L65" s="63"/>
    </row>
    <row r="66" spans="1:12" ht="15" x14ac:dyDescent="0.25">
      <c r="A66" s="23"/>
      <c r="B66" s="15"/>
      <c r="C66" s="11"/>
      <c r="D66" s="7" t="s">
        <v>23</v>
      </c>
      <c r="E66" s="41"/>
      <c r="F66" s="42"/>
      <c r="G66" s="42"/>
      <c r="H66" s="42"/>
      <c r="I66" s="42"/>
      <c r="J66" s="42"/>
      <c r="K66" s="43"/>
      <c r="L66" s="63"/>
    </row>
    <row r="67" spans="1:12" ht="15" x14ac:dyDescent="0.25">
      <c r="A67" s="23"/>
      <c r="B67" s="15"/>
      <c r="C67" s="11"/>
      <c r="D67" s="7" t="s">
        <v>24</v>
      </c>
      <c r="E67" s="41"/>
      <c r="F67" s="42"/>
      <c r="G67" s="42"/>
      <c r="H67" s="42"/>
      <c r="I67" s="42"/>
      <c r="J67" s="42"/>
      <c r="K67" s="43"/>
      <c r="L67" s="63"/>
    </row>
    <row r="68" spans="1:12" ht="15" x14ac:dyDescent="0.25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63"/>
    </row>
    <row r="69" spans="1:12" ht="15" x14ac:dyDescent="0.2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6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64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1"/>
      <c r="F71" s="42"/>
      <c r="G71" s="42"/>
      <c r="H71" s="42"/>
      <c r="I71" s="42"/>
      <c r="J71" s="42"/>
      <c r="K71" s="43"/>
      <c r="L71" s="63"/>
    </row>
    <row r="72" spans="1:12" ht="15" x14ac:dyDescent="0.25">
      <c r="A72" s="23"/>
      <c r="B72" s="15"/>
      <c r="C72" s="11"/>
      <c r="D72" s="7" t="s">
        <v>27</v>
      </c>
      <c r="E72" s="56" t="s">
        <v>69</v>
      </c>
      <c r="F72" s="57">
        <v>200</v>
      </c>
      <c r="G72" s="69">
        <f>F72*3.72/100</f>
        <v>7.44</v>
      </c>
      <c r="H72" s="69">
        <f>F72*4.56/100</f>
        <v>9.1199999999999992</v>
      </c>
      <c r="I72" s="69">
        <f>F72*4.02/100</f>
        <v>8.0399999999999991</v>
      </c>
      <c r="J72" s="69">
        <f>G72*4+H72*9+I72*4</f>
        <v>144</v>
      </c>
      <c r="K72" s="70" t="s">
        <v>72</v>
      </c>
      <c r="L72" s="63"/>
    </row>
    <row r="73" spans="1:12" ht="15" x14ac:dyDescent="0.25">
      <c r="A73" s="23"/>
      <c r="B73" s="15"/>
      <c r="C73" s="11"/>
      <c r="D73" s="7" t="s">
        <v>28</v>
      </c>
      <c r="E73" s="60" t="s">
        <v>70</v>
      </c>
      <c r="F73" s="59">
        <v>230</v>
      </c>
      <c r="G73" s="58">
        <f>F73*10.8/100</f>
        <v>24.84</v>
      </c>
      <c r="H73" s="59">
        <f>F73*5.9/100</f>
        <v>13.57</v>
      </c>
      <c r="I73" s="58">
        <f>F73*18.9/100</f>
        <v>43.47</v>
      </c>
      <c r="J73" s="58">
        <f>G73*4+H73*9+I73*4</f>
        <v>395.37</v>
      </c>
      <c r="K73" s="70" t="s">
        <v>73</v>
      </c>
      <c r="L73" s="63"/>
    </row>
    <row r="74" spans="1:12" ht="15" x14ac:dyDescent="0.25">
      <c r="A74" s="23"/>
      <c r="B74" s="15"/>
      <c r="C74" s="11"/>
      <c r="D74" s="7" t="s">
        <v>29</v>
      </c>
      <c r="E74" s="41"/>
      <c r="F74" s="42"/>
      <c r="G74" s="42"/>
      <c r="H74" s="42"/>
      <c r="I74" s="42"/>
      <c r="J74" s="42"/>
      <c r="K74" s="75"/>
      <c r="L74" s="63"/>
    </row>
    <row r="75" spans="1:12" ht="15" x14ac:dyDescent="0.25">
      <c r="A75" s="23"/>
      <c r="B75" s="15"/>
      <c r="C75" s="11"/>
      <c r="D75" s="7" t="s">
        <v>30</v>
      </c>
      <c r="E75" s="56" t="s">
        <v>71</v>
      </c>
      <c r="F75" s="59">
        <v>200</v>
      </c>
      <c r="G75" s="58">
        <f>F75*0.67/200</f>
        <v>0.67</v>
      </c>
      <c r="H75" s="58">
        <f>F75*0.27/200</f>
        <v>0.27</v>
      </c>
      <c r="I75" s="58">
        <f>F75*18.3/200</f>
        <v>18.3</v>
      </c>
      <c r="J75" s="58">
        <f>G75*4+H75*9+I75*4</f>
        <v>78.31</v>
      </c>
      <c r="K75" s="70" t="s">
        <v>74</v>
      </c>
      <c r="L75" s="63"/>
    </row>
    <row r="76" spans="1:12" ht="15" x14ac:dyDescent="0.25">
      <c r="A76" s="23"/>
      <c r="B76" s="15"/>
      <c r="C76" s="11"/>
      <c r="D76" s="7" t="s">
        <v>31</v>
      </c>
      <c r="E76" s="61" t="s">
        <v>44</v>
      </c>
      <c r="F76" s="57">
        <v>50</v>
      </c>
      <c r="G76" s="58">
        <f>F76*7.6/100</f>
        <v>3.8</v>
      </c>
      <c r="H76" s="58">
        <f>F76*0.8/100</f>
        <v>0.4</v>
      </c>
      <c r="I76" s="58">
        <f>F76*49.2/100</f>
        <v>24.6</v>
      </c>
      <c r="J76" s="58">
        <f>G76*4+H76*9+I76*4</f>
        <v>117.2</v>
      </c>
      <c r="K76" s="71" t="s">
        <v>46</v>
      </c>
      <c r="L76" s="63"/>
    </row>
    <row r="77" spans="1:12" ht="15" x14ac:dyDescent="0.25">
      <c r="A77" s="23"/>
      <c r="B77" s="15"/>
      <c r="C77" s="11"/>
      <c r="D77" s="7" t="s">
        <v>32</v>
      </c>
      <c r="E77" s="61" t="s">
        <v>43</v>
      </c>
      <c r="F77" s="57">
        <v>20</v>
      </c>
      <c r="G77" s="58">
        <f>F77*8/100</f>
        <v>1.6</v>
      </c>
      <c r="H77" s="58">
        <f>F77*1.5/100</f>
        <v>0.3</v>
      </c>
      <c r="I77" s="58">
        <f>F77*40.1/100</f>
        <v>8.02</v>
      </c>
      <c r="J77" s="58">
        <f>G77*4+H77*9+I77*4</f>
        <v>41.18</v>
      </c>
      <c r="K77" s="71" t="s">
        <v>47</v>
      </c>
      <c r="L77" s="63"/>
    </row>
    <row r="78" spans="1:12" ht="15" x14ac:dyDescent="0.2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63"/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6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700</v>
      </c>
      <c r="G80" s="19">
        <f t="shared" ref="G80" si="34">SUM(G71:G79)</f>
        <v>38.35</v>
      </c>
      <c r="H80" s="19">
        <f t="shared" ref="H80" si="35">SUM(H71:H79)</f>
        <v>23.659999999999997</v>
      </c>
      <c r="I80" s="19">
        <f t="shared" ref="I80" si="36">SUM(I71:I79)</f>
        <v>102.42999999999999</v>
      </c>
      <c r="J80" s="19">
        <f t="shared" ref="J80:L80" si="37">SUM(J71:J79)</f>
        <v>776.06000000000006</v>
      </c>
      <c r="K80" s="25"/>
      <c r="L80" s="64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700</v>
      </c>
      <c r="G81" s="32">
        <f t="shared" ref="G81" si="38">G70+G80</f>
        <v>38.35</v>
      </c>
      <c r="H81" s="32">
        <f t="shared" ref="H81" si="39">H70+H80</f>
        <v>23.659999999999997</v>
      </c>
      <c r="I81" s="32">
        <f t="shared" ref="I81" si="40">I70+I80</f>
        <v>102.42999999999999</v>
      </c>
      <c r="J81" s="32">
        <f t="shared" ref="J81:L81" si="41">J70+J80</f>
        <v>776.06000000000006</v>
      </c>
      <c r="K81" s="68"/>
      <c r="L81" s="65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8"/>
      <c r="F82" s="39"/>
      <c r="G82" s="39"/>
      <c r="H82" s="39"/>
      <c r="I82" s="39"/>
      <c r="J82" s="39"/>
      <c r="K82" s="40"/>
      <c r="L82" s="62"/>
    </row>
    <row r="83" spans="1:12" ht="15" x14ac:dyDescent="0.25">
      <c r="A83" s="23"/>
      <c r="B83" s="15"/>
      <c r="C83" s="11"/>
      <c r="D83" s="6"/>
      <c r="E83" s="41"/>
      <c r="F83" s="42"/>
      <c r="G83" s="42"/>
      <c r="H83" s="42"/>
      <c r="I83" s="42"/>
      <c r="J83" s="42"/>
      <c r="K83" s="43"/>
      <c r="L83" s="63"/>
    </row>
    <row r="84" spans="1:12" ht="15" x14ac:dyDescent="0.25">
      <c r="A84" s="23"/>
      <c r="B84" s="15"/>
      <c r="C84" s="11"/>
      <c r="D84" s="7" t="s">
        <v>22</v>
      </c>
      <c r="E84" s="41"/>
      <c r="F84" s="42"/>
      <c r="G84" s="42"/>
      <c r="H84" s="42"/>
      <c r="I84" s="42"/>
      <c r="J84" s="42"/>
      <c r="K84" s="43"/>
      <c r="L84" s="63"/>
    </row>
    <row r="85" spans="1:12" ht="15" x14ac:dyDescent="0.25">
      <c r="A85" s="23"/>
      <c r="B85" s="15"/>
      <c r="C85" s="11"/>
      <c r="D85" s="7" t="s">
        <v>23</v>
      </c>
      <c r="E85" s="41"/>
      <c r="F85" s="42"/>
      <c r="G85" s="42"/>
      <c r="H85" s="42"/>
      <c r="I85" s="42"/>
      <c r="J85" s="42"/>
      <c r="K85" s="43"/>
      <c r="L85" s="63"/>
    </row>
    <row r="86" spans="1:12" ht="15" x14ac:dyDescent="0.25">
      <c r="A86" s="23"/>
      <c r="B86" s="15"/>
      <c r="C86" s="11"/>
      <c r="D86" s="7" t="s">
        <v>24</v>
      </c>
      <c r="E86" s="41"/>
      <c r="F86" s="42"/>
      <c r="G86" s="42"/>
      <c r="H86" s="42"/>
      <c r="I86" s="42"/>
      <c r="J86" s="42"/>
      <c r="K86" s="43"/>
      <c r="L86" s="63"/>
    </row>
    <row r="87" spans="1:12" ht="15" x14ac:dyDescent="0.25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63"/>
    </row>
    <row r="88" spans="1:12" ht="15" x14ac:dyDescent="0.2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6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64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1"/>
      <c r="F90" s="42"/>
      <c r="G90" s="42"/>
      <c r="H90" s="42"/>
      <c r="I90" s="42"/>
      <c r="J90" s="42"/>
      <c r="K90" s="43"/>
      <c r="L90" s="63"/>
    </row>
    <row r="91" spans="1:12" ht="15" x14ac:dyDescent="0.25">
      <c r="A91" s="23"/>
      <c r="B91" s="15"/>
      <c r="C91" s="11"/>
      <c r="D91" s="7" t="s">
        <v>27</v>
      </c>
      <c r="E91" s="56" t="s">
        <v>75</v>
      </c>
      <c r="F91" s="59">
        <v>200</v>
      </c>
      <c r="G91" s="58">
        <f>F91*1.05/100</f>
        <v>2.1</v>
      </c>
      <c r="H91" s="58">
        <f>F91*2.04/100</f>
        <v>4.08</v>
      </c>
      <c r="I91" s="58">
        <f>F91*5.3/100</f>
        <v>10.6</v>
      </c>
      <c r="J91" s="69">
        <f>G91*4+H91*9+I91*4</f>
        <v>87.52</v>
      </c>
      <c r="K91" s="76" t="s">
        <v>79</v>
      </c>
      <c r="L91" s="63"/>
    </row>
    <row r="92" spans="1:12" ht="15" x14ac:dyDescent="0.25">
      <c r="A92" s="23"/>
      <c r="B92" s="15"/>
      <c r="C92" s="11"/>
      <c r="D92" s="7" t="s">
        <v>28</v>
      </c>
      <c r="E92" s="56" t="s">
        <v>76</v>
      </c>
      <c r="F92" s="59">
        <v>90</v>
      </c>
      <c r="G92" s="58">
        <f>F92*12/100</f>
        <v>10.8</v>
      </c>
      <c r="H92" s="58">
        <f>F92*24/100</f>
        <v>21.6</v>
      </c>
      <c r="I92" s="58">
        <f>F92*5/100</f>
        <v>4.5</v>
      </c>
      <c r="J92" s="58">
        <f>G92*4+H92*9+I92*4</f>
        <v>255.60000000000002</v>
      </c>
      <c r="K92" s="76" t="s">
        <v>80</v>
      </c>
      <c r="L92" s="63"/>
    </row>
    <row r="93" spans="1:12" ht="15" x14ac:dyDescent="0.25">
      <c r="A93" s="23"/>
      <c r="B93" s="15"/>
      <c r="C93" s="11"/>
      <c r="D93" s="7" t="s">
        <v>29</v>
      </c>
      <c r="E93" s="61" t="s">
        <v>77</v>
      </c>
      <c r="F93" s="59">
        <v>150</v>
      </c>
      <c r="G93" s="58">
        <f>F93*3.63/100</f>
        <v>5.4450000000000003</v>
      </c>
      <c r="H93" s="58">
        <f>F93*4.5/100</f>
        <v>6.75</v>
      </c>
      <c r="I93" s="58">
        <f>F93*22.5/100</f>
        <v>33.75</v>
      </c>
      <c r="J93" s="58">
        <f>G93*4+H93*9+I93*4</f>
        <v>217.53</v>
      </c>
      <c r="K93" s="77" t="s">
        <v>81</v>
      </c>
      <c r="L93" s="63"/>
    </row>
    <row r="94" spans="1:12" ht="15" x14ac:dyDescent="0.25">
      <c r="A94" s="23"/>
      <c r="B94" s="15"/>
      <c r="C94" s="11"/>
      <c r="D94" s="7" t="s">
        <v>30</v>
      </c>
      <c r="E94" s="56" t="s">
        <v>78</v>
      </c>
      <c r="F94" s="59">
        <v>200</v>
      </c>
      <c r="G94" s="58">
        <f>F94*0.2/200</f>
        <v>0.2</v>
      </c>
      <c r="H94" s="58">
        <f>F94*0.1/200</f>
        <v>0.1</v>
      </c>
      <c r="I94" s="58">
        <f>F94*9.3/200</f>
        <v>9.3000000000000007</v>
      </c>
      <c r="J94" s="58">
        <f>G94*4+H94*9+I94*4</f>
        <v>38.900000000000006</v>
      </c>
      <c r="K94" s="76" t="s">
        <v>82</v>
      </c>
      <c r="L94" s="63"/>
    </row>
    <row r="95" spans="1:12" ht="15" x14ac:dyDescent="0.25">
      <c r="A95" s="23"/>
      <c r="B95" s="15"/>
      <c r="C95" s="11"/>
      <c r="D95" s="7" t="s">
        <v>31</v>
      </c>
      <c r="E95" s="61" t="s">
        <v>44</v>
      </c>
      <c r="F95" s="57">
        <v>50</v>
      </c>
      <c r="G95" s="58">
        <f>F95*7.6/100</f>
        <v>3.8</v>
      </c>
      <c r="H95" s="58">
        <f>F95*0.8/100</f>
        <v>0.4</v>
      </c>
      <c r="I95" s="58">
        <f>F95*49.2/100</f>
        <v>24.6</v>
      </c>
      <c r="J95" s="58">
        <f>G95*4+H95*9+I95*4</f>
        <v>117.2</v>
      </c>
      <c r="K95" s="71" t="s">
        <v>46</v>
      </c>
      <c r="L95" s="63"/>
    </row>
    <row r="96" spans="1:12" ht="15" x14ac:dyDescent="0.25">
      <c r="A96" s="23"/>
      <c r="B96" s="15"/>
      <c r="C96" s="11"/>
      <c r="D96" s="7" t="s">
        <v>32</v>
      </c>
      <c r="E96" s="61" t="s">
        <v>43</v>
      </c>
      <c r="F96" s="57">
        <v>20</v>
      </c>
      <c r="G96" s="58">
        <f>F96*8/100</f>
        <v>1.6</v>
      </c>
      <c r="H96" s="58">
        <f>F96*1.5/100</f>
        <v>0.3</v>
      </c>
      <c r="I96" s="58">
        <f>F96*40.1/100</f>
        <v>8.02</v>
      </c>
      <c r="J96" s="58">
        <f>G96*4+H96*9+I96*4</f>
        <v>41.18</v>
      </c>
      <c r="K96" s="71" t="s">
        <v>47</v>
      </c>
      <c r="L96" s="63"/>
    </row>
    <row r="97" spans="1:12" ht="15" x14ac:dyDescent="0.2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63"/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6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710</v>
      </c>
      <c r="G99" s="19">
        <f t="shared" ref="G99" si="46">SUM(G90:G98)</f>
        <v>23.945</v>
      </c>
      <c r="H99" s="19">
        <f t="shared" ref="H99" si="47">SUM(H90:H98)</f>
        <v>33.229999999999997</v>
      </c>
      <c r="I99" s="19">
        <f t="shared" ref="I99" si="48">SUM(I90:I98)</f>
        <v>90.77</v>
      </c>
      <c r="J99" s="19">
        <f t="shared" ref="J99:L99" si="49">SUM(J90:J98)</f>
        <v>757.93</v>
      </c>
      <c r="K99" s="25"/>
      <c r="L99" s="64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710</v>
      </c>
      <c r="G100" s="32">
        <f t="shared" ref="G100" si="50">G89+G99</f>
        <v>23.945</v>
      </c>
      <c r="H100" s="32">
        <f t="shared" ref="H100" si="51">H89+H99</f>
        <v>33.229999999999997</v>
      </c>
      <c r="I100" s="32">
        <f t="shared" ref="I100" si="52">I89+I99</f>
        <v>90.77</v>
      </c>
      <c r="J100" s="32">
        <f t="shared" ref="J100:L100" si="53">J89+J99</f>
        <v>757.93</v>
      </c>
      <c r="K100" s="68"/>
      <c r="L100" s="65">
        <f t="shared" si="53"/>
        <v>0</v>
      </c>
    </row>
    <row r="101" spans="1:12" ht="15" x14ac:dyDescent="0.25">
      <c r="A101" s="20">
        <v>2</v>
      </c>
      <c r="B101" s="21">
        <v>6</v>
      </c>
      <c r="C101" s="22" t="s">
        <v>20</v>
      </c>
      <c r="D101" s="5" t="s">
        <v>21</v>
      </c>
      <c r="E101" s="38"/>
      <c r="F101" s="39"/>
      <c r="G101" s="39"/>
      <c r="H101" s="39"/>
      <c r="I101" s="39"/>
      <c r="J101" s="39"/>
      <c r="K101" s="40"/>
      <c r="L101" s="62"/>
    </row>
    <row r="102" spans="1:12" ht="15" x14ac:dyDescent="0.25">
      <c r="A102" s="23"/>
      <c r="B102" s="15"/>
      <c r="C102" s="11"/>
      <c r="D102" s="6"/>
      <c r="E102" s="41"/>
      <c r="F102" s="42"/>
      <c r="G102" s="42"/>
      <c r="H102" s="42"/>
      <c r="I102" s="42"/>
      <c r="J102" s="42"/>
      <c r="K102" s="43"/>
      <c r="L102" s="63"/>
    </row>
    <row r="103" spans="1:12" ht="15" x14ac:dyDescent="0.25">
      <c r="A103" s="23"/>
      <c r="B103" s="15"/>
      <c r="C103" s="11"/>
      <c r="D103" s="7" t="s">
        <v>22</v>
      </c>
      <c r="E103" s="41"/>
      <c r="F103" s="42"/>
      <c r="G103" s="42"/>
      <c r="H103" s="42"/>
      <c r="I103" s="42"/>
      <c r="J103" s="42"/>
      <c r="K103" s="43"/>
      <c r="L103" s="63"/>
    </row>
    <row r="104" spans="1:12" ht="15" x14ac:dyDescent="0.25">
      <c r="A104" s="23"/>
      <c r="B104" s="15"/>
      <c r="C104" s="11"/>
      <c r="D104" s="7" t="s">
        <v>23</v>
      </c>
      <c r="E104" s="41"/>
      <c r="F104" s="42"/>
      <c r="G104" s="42"/>
      <c r="H104" s="42"/>
      <c r="I104" s="42"/>
      <c r="J104" s="42"/>
      <c r="K104" s="43"/>
      <c r="L104" s="63"/>
    </row>
    <row r="105" spans="1:12" ht="15" x14ac:dyDescent="0.25">
      <c r="A105" s="23"/>
      <c r="B105" s="15"/>
      <c r="C105" s="11"/>
      <c r="D105" s="7" t="s">
        <v>24</v>
      </c>
      <c r="E105" s="41"/>
      <c r="F105" s="42"/>
      <c r="G105" s="42"/>
      <c r="H105" s="42"/>
      <c r="I105" s="42"/>
      <c r="J105" s="42"/>
      <c r="K105" s="43"/>
      <c r="L105" s="63"/>
    </row>
    <row r="106" spans="1:12" ht="15" x14ac:dyDescent="0.25">
      <c r="A106" s="23"/>
      <c r="B106" s="15"/>
      <c r="C106" s="11"/>
      <c r="D106" s="6"/>
      <c r="E106" s="41"/>
      <c r="F106" s="42"/>
      <c r="G106" s="42"/>
      <c r="H106" s="42"/>
      <c r="I106" s="42"/>
      <c r="J106" s="42"/>
      <c r="K106" s="43"/>
      <c r="L106" s="63"/>
    </row>
    <row r="107" spans="1:12" ht="15" x14ac:dyDescent="0.2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6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64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6</v>
      </c>
      <c r="C109" s="10" t="s">
        <v>25</v>
      </c>
      <c r="D109" s="7" t="s">
        <v>26</v>
      </c>
      <c r="E109" s="41"/>
      <c r="F109" s="42"/>
      <c r="G109" s="42"/>
      <c r="H109" s="42"/>
      <c r="I109" s="42"/>
      <c r="J109" s="42"/>
      <c r="K109" s="43"/>
      <c r="L109" s="63"/>
    </row>
    <row r="110" spans="1:12" ht="15" x14ac:dyDescent="0.25">
      <c r="A110" s="23"/>
      <c r="B110" s="15"/>
      <c r="C110" s="11"/>
      <c r="D110" s="7" t="s">
        <v>27</v>
      </c>
      <c r="E110" s="61" t="s">
        <v>89</v>
      </c>
      <c r="F110" s="59">
        <v>200</v>
      </c>
      <c r="G110" s="58">
        <f>F110*2.48/100</f>
        <v>4.96</v>
      </c>
      <c r="H110" s="58">
        <f>F110*2.24/100</f>
        <v>4.4800000000000004</v>
      </c>
      <c r="I110" s="58">
        <f>F110*8.92/100</f>
        <v>17.84</v>
      </c>
      <c r="J110" s="58">
        <f>G110*4+H110*9+I110*4</f>
        <v>131.52000000000001</v>
      </c>
      <c r="K110" s="71" t="s">
        <v>91</v>
      </c>
      <c r="L110" s="63"/>
    </row>
    <row r="111" spans="1:12" ht="15" x14ac:dyDescent="0.25">
      <c r="A111" s="23"/>
      <c r="B111" s="15"/>
      <c r="C111" s="11"/>
      <c r="D111" s="7" t="s">
        <v>28</v>
      </c>
      <c r="E111" s="56" t="s">
        <v>90</v>
      </c>
      <c r="F111" s="59">
        <v>230</v>
      </c>
      <c r="G111" s="58">
        <f>F111*5.7/100</f>
        <v>13.11</v>
      </c>
      <c r="H111" s="58">
        <f>F111*9.45/100</f>
        <v>21.734999999999999</v>
      </c>
      <c r="I111" s="58">
        <f>F111*9.4/100</f>
        <v>21.62</v>
      </c>
      <c r="J111" s="58">
        <f>G111*4+H111*9+I111*4</f>
        <v>334.53500000000003</v>
      </c>
      <c r="K111" s="71" t="s">
        <v>92</v>
      </c>
      <c r="L111" s="63"/>
    </row>
    <row r="112" spans="1:12" ht="15" x14ac:dyDescent="0.25">
      <c r="A112" s="23"/>
      <c r="B112" s="15"/>
      <c r="C112" s="11"/>
      <c r="D112" s="7" t="s">
        <v>29</v>
      </c>
      <c r="E112" s="61"/>
      <c r="F112" s="59"/>
      <c r="G112" s="58"/>
      <c r="H112" s="59"/>
      <c r="I112" s="58"/>
      <c r="J112" s="58"/>
      <c r="K112" s="71"/>
      <c r="L112" s="63"/>
    </row>
    <row r="113" spans="1:12" ht="15" x14ac:dyDescent="0.25">
      <c r="A113" s="23"/>
      <c r="B113" s="15"/>
      <c r="C113" s="11"/>
      <c r="D113" s="7" t="s">
        <v>30</v>
      </c>
      <c r="E113" s="56" t="s">
        <v>42</v>
      </c>
      <c r="F113" s="59">
        <v>200</v>
      </c>
      <c r="G113" s="58">
        <f>F113*0.6/200</f>
        <v>0.6</v>
      </c>
      <c r="H113" s="58">
        <f>F113*0.1/200</f>
        <v>0.1</v>
      </c>
      <c r="I113" s="58">
        <f>F113*20.1/200</f>
        <v>20.100000000000001</v>
      </c>
      <c r="J113" s="58">
        <f>G113*4+H113*9+I113*4</f>
        <v>83.7</v>
      </c>
      <c r="K113" s="66" t="s">
        <v>51</v>
      </c>
      <c r="L113" s="63"/>
    </row>
    <row r="114" spans="1:12" ht="15" x14ac:dyDescent="0.25">
      <c r="A114" s="23"/>
      <c r="B114" s="15"/>
      <c r="C114" s="11"/>
      <c r="D114" s="7" t="s">
        <v>31</v>
      </c>
      <c r="E114" s="61" t="s">
        <v>44</v>
      </c>
      <c r="F114" s="57">
        <v>50</v>
      </c>
      <c r="G114" s="58">
        <f>F114*7.6/100</f>
        <v>3.8</v>
      </c>
      <c r="H114" s="58">
        <f>F114*0.8/100</f>
        <v>0.4</v>
      </c>
      <c r="I114" s="58">
        <f>F114*49.2/100</f>
        <v>24.6</v>
      </c>
      <c r="J114" s="58">
        <f>G114*4+H114*9+I114*4</f>
        <v>117.2</v>
      </c>
      <c r="K114" s="71" t="s">
        <v>46</v>
      </c>
      <c r="L114" s="63"/>
    </row>
    <row r="115" spans="1:12" ht="15" x14ac:dyDescent="0.25">
      <c r="A115" s="23"/>
      <c r="B115" s="15"/>
      <c r="C115" s="11"/>
      <c r="D115" s="7" t="s">
        <v>32</v>
      </c>
      <c r="E115" s="61" t="s">
        <v>43</v>
      </c>
      <c r="F115" s="57">
        <v>25</v>
      </c>
      <c r="G115" s="58">
        <f>F115*8/100</f>
        <v>2</v>
      </c>
      <c r="H115" s="58">
        <f>F115*1.5/100</f>
        <v>0.375</v>
      </c>
      <c r="I115" s="58">
        <f>F115*40.1/100</f>
        <v>10.025</v>
      </c>
      <c r="J115" s="58">
        <f>G115*4+H115*9+I115*4</f>
        <v>51.475000000000001</v>
      </c>
      <c r="K115" s="71" t="s">
        <v>47</v>
      </c>
      <c r="L115" s="63"/>
    </row>
    <row r="116" spans="1:12" ht="15" x14ac:dyDescent="0.2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63"/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6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705</v>
      </c>
      <c r="G118" s="19">
        <f t="shared" ref="G118:J118" si="56">SUM(G109:G117)</f>
        <v>24.470000000000002</v>
      </c>
      <c r="H118" s="72">
        <f t="shared" si="56"/>
        <v>27.09</v>
      </c>
      <c r="I118" s="72">
        <f t="shared" si="56"/>
        <v>94.185000000000002</v>
      </c>
      <c r="J118" s="72">
        <f t="shared" si="56"/>
        <v>718.43000000000018</v>
      </c>
      <c r="K118" s="25"/>
      <c r="L118" s="64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6</v>
      </c>
      <c r="C119" s="53" t="s">
        <v>4</v>
      </c>
      <c r="D119" s="54"/>
      <c r="E119" s="31"/>
      <c r="F119" s="32">
        <f>F108+F118</f>
        <v>705</v>
      </c>
      <c r="G119" s="32">
        <f t="shared" ref="G119" si="58">G108+G118</f>
        <v>24.470000000000002</v>
      </c>
      <c r="H119" s="73">
        <f t="shared" ref="H119" si="59">H108+H118</f>
        <v>27.09</v>
      </c>
      <c r="I119" s="73">
        <f t="shared" ref="I119" si="60">I108+I118</f>
        <v>94.185000000000002</v>
      </c>
      <c r="J119" s="73">
        <f t="shared" ref="J119:L119" si="61">J108+J118</f>
        <v>718.43000000000018</v>
      </c>
      <c r="K119" s="68"/>
      <c r="L119" s="65">
        <f t="shared" si="61"/>
        <v>0</v>
      </c>
    </row>
    <row r="120" spans="1:12" ht="15" x14ac:dyDescent="0.25">
      <c r="A120" s="14">
        <v>2</v>
      </c>
      <c r="B120" s="15">
        <v>7</v>
      </c>
      <c r="C120" s="22" t="s">
        <v>20</v>
      </c>
      <c r="D120" s="5" t="s">
        <v>21</v>
      </c>
      <c r="E120" s="38"/>
      <c r="F120" s="39"/>
      <c r="G120" s="39"/>
      <c r="H120" s="39"/>
      <c r="I120" s="39"/>
      <c r="J120" s="39"/>
      <c r="K120" s="40"/>
      <c r="L120" s="39"/>
    </row>
    <row r="121" spans="1:12" ht="15" x14ac:dyDescent="0.25">
      <c r="A121" s="14"/>
      <c r="B121" s="15"/>
      <c r="C121" s="11"/>
      <c r="D121" s="6"/>
      <c r="E121" s="41"/>
      <c r="F121" s="42"/>
      <c r="G121" s="42"/>
      <c r="H121" s="42"/>
      <c r="I121" s="42"/>
      <c r="J121" s="42"/>
      <c r="K121" s="43"/>
      <c r="L121" s="42"/>
    </row>
    <row r="122" spans="1:12" ht="15" x14ac:dyDescent="0.25">
      <c r="A122" s="14"/>
      <c r="B122" s="15"/>
      <c r="C122" s="11"/>
      <c r="D122" s="7" t="s">
        <v>22</v>
      </c>
      <c r="E122" s="41"/>
      <c r="F122" s="42"/>
      <c r="G122" s="42"/>
      <c r="H122" s="42"/>
      <c r="I122" s="42"/>
      <c r="J122" s="42"/>
      <c r="K122" s="43"/>
      <c r="L122" s="42"/>
    </row>
    <row r="123" spans="1:12" ht="15" x14ac:dyDescent="0.25">
      <c r="A123" s="14"/>
      <c r="B123" s="15"/>
      <c r="C123" s="11"/>
      <c r="D123" s="7" t="s">
        <v>23</v>
      </c>
      <c r="E123" s="41"/>
      <c r="F123" s="42"/>
      <c r="G123" s="42"/>
      <c r="H123" s="42"/>
      <c r="I123" s="42"/>
      <c r="J123" s="42"/>
      <c r="K123" s="43"/>
      <c r="L123" s="42"/>
    </row>
    <row r="124" spans="1:12" ht="15" x14ac:dyDescent="0.25">
      <c r="A124" s="14"/>
      <c r="B124" s="15"/>
      <c r="C124" s="11"/>
      <c r="D124" s="7" t="s">
        <v>24</v>
      </c>
      <c r="E124" s="41"/>
      <c r="F124" s="42"/>
      <c r="G124" s="42"/>
      <c r="H124" s="42"/>
      <c r="I124" s="42"/>
      <c r="J124" s="42"/>
      <c r="K124" s="43"/>
      <c r="L124" s="42"/>
    </row>
    <row r="125" spans="1:12" ht="15" x14ac:dyDescent="0.25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5" x14ac:dyDescent="0.2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7</v>
      </c>
      <c r="C128" s="10" t="s">
        <v>25</v>
      </c>
      <c r="D128" s="7" t="s">
        <v>26</v>
      </c>
      <c r="E128" s="41"/>
      <c r="F128" s="42"/>
      <c r="G128" s="42"/>
      <c r="H128" s="42"/>
      <c r="I128" s="42"/>
      <c r="J128" s="42"/>
      <c r="K128" s="43"/>
      <c r="L128" s="42"/>
    </row>
    <row r="129" spans="1:12" ht="15" x14ac:dyDescent="0.25">
      <c r="A129" s="14"/>
      <c r="B129" s="15"/>
      <c r="C129" s="11"/>
      <c r="D129" s="7" t="s">
        <v>27</v>
      </c>
      <c r="E129" s="60" t="s">
        <v>83</v>
      </c>
      <c r="F129" s="59">
        <v>200</v>
      </c>
      <c r="G129" s="58">
        <f>F129*0.8/100</f>
        <v>1.6</v>
      </c>
      <c r="H129" s="58">
        <f>F129*1.72/100</f>
        <v>3.44</v>
      </c>
      <c r="I129" s="58">
        <f>F129*4/100</f>
        <v>8</v>
      </c>
      <c r="J129" s="58">
        <f>G129*4+H129*9+I129*4</f>
        <v>69.36</v>
      </c>
      <c r="K129" s="70" t="s">
        <v>86</v>
      </c>
      <c r="L129" s="42"/>
    </row>
    <row r="130" spans="1:12" ht="15" x14ac:dyDescent="0.25">
      <c r="A130" s="14"/>
      <c r="B130" s="15"/>
      <c r="C130" s="11"/>
      <c r="D130" s="7" t="s">
        <v>28</v>
      </c>
      <c r="E130" s="56" t="s">
        <v>84</v>
      </c>
      <c r="F130" s="59">
        <v>90</v>
      </c>
      <c r="G130" s="58">
        <f>F130*18.7/100</f>
        <v>16.829999999999998</v>
      </c>
      <c r="H130" s="58">
        <f>F130*15.3/100</f>
        <v>13.77</v>
      </c>
      <c r="I130" s="58">
        <f>F130*0.6/100</f>
        <v>0.54</v>
      </c>
      <c r="J130" s="58">
        <f>G130*4+H130*9+I130*4</f>
        <v>193.41</v>
      </c>
      <c r="K130" s="70" t="s">
        <v>87</v>
      </c>
      <c r="L130" s="42"/>
    </row>
    <row r="131" spans="1:12" ht="15" x14ac:dyDescent="0.25">
      <c r="A131" s="14"/>
      <c r="B131" s="15"/>
      <c r="C131" s="11"/>
      <c r="D131" s="7" t="s">
        <v>29</v>
      </c>
      <c r="E131" s="61" t="s">
        <v>85</v>
      </c>
      <c r="F131" s="59">
        <v>150</v>
      </c>
      <c r="G131" s="58">
        <f>F131*2.3/100</f>
        <v>3.45</v>
      </c>
      <c r="H131" s="59">
        <f>F131*3.7/100</f>
        <v>5.55</v>
      </c>
      <c r="I131" s="58">
        <f>F131*23.4/100</f>
        <v>35.1</v>
      </c>
      <c r="J131" s="58">
        <f>G131*4+H131*9+I131*4</f>
        <v>204.15</v>
      </c>
      <c r="K131" s="71" t="s">
        <v>88</v>
      </c>
      <c r="L131" s="42"/>
    </row>
    <row r="132" spans="1:12" ht="15" x14ac:dyDescent="0.25">
      <c r="A132" s="14"/>
      <c r="B132" s="15"/>
      <c r="C132" s="11"/>
      <c r="D132" s="7" t="s">
        <v>30</v>
      </c>
      <c r="E132" s="56" t="s">
        <v>71</v>
      </c>
      <c r="F132" s="59">
        <v>200</v>
      </c>
      <c r="G132" s="58">
        <f>F132*0.67/200</f>
        <v>0.67</v>
      </c>
      <c r="H132" s="58">
        <f>F132*0.27/200</f>
        <v>0.27</v>
      </c>
      <c r="I132" s="58">
        <f>F132*18.3/200</f>
        <v>18.3</v>
      </c>
      <c r="J132" s="58">
        <f>G132*4+H132*9+I132*4</f>
        <v>78.31</v>
      </c>
      <c r="K132" s="70" t="s">
        <v>74</v>
      </c>
      <c r="L132" s="42"/>
    </row>
    <row r="133" spans="1:12" ht="15" x14ac:dyDescent="0.25">
      <c r="A133" s="14"/>
      <c r="B133" s="15"/>
      <c r="C133" s="11"/>
      <c r="D133" s="7" t="s">
        <v>31</v>
      </c>
      <c r="E133" s="61" t="s">
        <v>44</v>
      </c>
      <c r="F133" s="57">
        <v>50</v>
      </c>
      <c r="G133" s="58">
        <f>F133*7.6/100</f>
        <v>3.8</v>
      </c>
      <c r="H133" s="58">
        <f>F133*0.8/100</f>
        <v>0.4</v>
      </c>
      <c r="I133" s="58">
        <f>F133*49.2/100</f>
        <v>24.6</v>
      </c>
      <c r="J133" s="58">
        <f>G133*4+H133*9+I133*4</f>
        <v>117.2</v>
      </c>
      <c r="K133" s="71" t="s">
        <v>46</v>
      </c>
      <c r="L133" s="42"/>
    </row>
    <row r="134" spans="1:12" ht="15" x14ac:dyDescent="0.25">
      <c r="A134" s="14"/>
      <c r="B134" s="15"/>
      <c r="C134" s="11"/>
      <c r="D134" s="7" t="s">
        <v>32</v>
      </c>
      <c r="E134" s="61" t="s">
        <v>43</v>
      </c>
      <c r="F134" s="57">
        <v>25</v>
      </c>
      <c r="G134" s="58">
        <f>F134*8/100</f>
        <v>2</v>
      </c>
      <c r="H134" s="58">
        <f>F134*1.5/100</f>
        <v>0.375</v>
      </c>
      <c r="I134" s="58">
        <f>F134*40.1/100</f>
        <v>10.025</v>
      </c>
      <c r="J134" s="58">
        <f>G134*4+H134*9+I134*4</f>
        <v>51.475000000000001</v>
      </c>
      <c r="K134" s="71" t="s">
        <v>47</v>
      </c>
      <c r="L134" s="42"/>
    </row>
    <row r="135" spans="1:12" ht="15" x14ac:dyDescent="0.2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715</v>
      </c>
      <c r="G137" s="19">
        <f t="shared" ref="G137:J137" si="64">SUM(G128:G136)</f>
        <v>28.35</v>
      </c>
      <c r="H137" s="19">
        <f t="shared" si="64"/>
        <v>23.805</v>
      </c>
      <c r="I137" s="19">
        <f t="shared" si="64"/>
        <v>96.564999999999998</v>
      </c>
      <c r="J137" s="19">
        <f t="shared" si="64"/>
        <v>713.90500000000009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7</v>
      </c>
      <c r="C138" s="53" t="s">
        <v>4</v>
      </c>
      <c r="D138" s="54"/>
      <c r="E138" s="31"/>
      <c r="F138" s="32">
        <f>F127+F137</f>
        <v>715</v>
      </c>
      <c r="G138" s="32">
        <f t="shared" ref="G138" si="66">G127+G137</f>
        <v>28.35</v>
      </c>
      <c r="H138" s="32">
        <f t="shared" ref="H138" si="67">H127+H137</f>
        <v>23.805</v>
      </c>
      <c r="I138" s="32">
        <f t="shared" ref="I138" si="68">I127+I137</f>
        <v>96.564999999999998</v>
      </c>
      <c r="J138" s="32">
        <f t="shared" ref="J138:L138" si="69">J127+J137</f>
        <v>713.90500000000009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8</v>
      </c>
      <c r="C139" s="22" t="s">
        <v>20</v>
      </c>
      <c r="D139" s="5" t="s">
        <v>21</v>
      </c>
      <c r="E139" s="38"/>
      <c r="F139" s="39"/>
      <c r="G139" s="39"/>
      <c r="H139" s="39"/>
      <c r="I139" s="39"/>
      <c r="J139" s="39"/>
      <c r="K139" s="40"/>
      <c r="L139" s="62"/>
    </row>
    <row r="140" spans="1:12" ht="15" x14ac:dyDescent="0.25">
      <c r="A140" s="23"/>
      <c r="B140" s="15"/>
      <c r="C140" s="11"/>
      <c r="D140" s="6"/>
      <c r="E140" s="41"/>
      <c r="F140" s="42"/>
      <c r="G140" s="42"/>
      <c r="H140" s="42"/>
      <c r="I140" s="42"/>
      <c r="J140" s="42"/>
      <c r="K140" s="43"/>
      <c r="L140" s="63"/>
    </row>
    <row r="141" spans="1:12" ht="15" x14ac:dyDescent="0.25">
      <c r="A141" s="23"/>
      <c r="B141" s="15"/>
      <c r="C141" s="11"/>
      <c r="D141" s="7" t="s">
        <v>22</v>
      </c>
      <c r="E141" s="41"/>
      <c r="F141" s="42"/>
      <c r="G141" s="42"/>
      <c r="H141" s="42"/>
      <c r="I141" s="42"/>
      <c r="J141" s="42"/>
      <c r="K141" s="43"/>
      <c r="L141" s="63"/>
    </row>
    <row r="142" spans="1:12" ht="15.75" customHeight="1" x14ac:dyDescent="0.25">
      <c r="A142" s="23"/>
      <c r="B142" s="15"/>
      <c r="C142" s="11"/>
      <c r="D142" s="7" t="s">
        <v>23</v>
      </c>
      <c r="E142" s="41"/>
      <c r="F142" s="42"/>
      <c r="G142" s="42"/>
      <c r="H142" s="42"/>
      <c r="I142" s="42"/>
      <c r="J142" s="42"/>
      <c r="K142" s="43"/>
      <c r="L142" s="63"/>
    </row>
    <row r="143" spans="1:12" ht="15" x14ac:dyDescent="0.25">
      <c r="A143" s="23"/>
      <c r="B143" s="15"/>
      <c r="C143" s="11"/>
      <c r="D143" s="7" t="s">
        <v>24</v>
      </c>
      <c r="E143" s="41"/>
      <c r="F143" s="42"/>
      <c r="G143" s="42"/>
      <c r="H143" s="42"/>
      <c r="I143" s="42"/>
      <c r="J143" s="42"/>
      <c r="K143" s="43"/>
      <c r="L143" s="63"/>
    </row>
    <row r="144" spans="1:12" ht="15" x14ac:dyDescent="0.25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63"/>
    </row>
    <row r="145" spans="1:12" ht="15" x14ac:dyDescent="0.2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6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64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8</v>
      </c>
      <c r="C147" s="10" t="s">
        <v>25</v>
      </c>
      <c r="D147" s="7" t="s">
        <v>26</v>
      </c>
      <c r="E147" s="41"/>
      <c r="F147" s="42"/>
      <c r="G147" s="42"/>
      <c r="H147" s="42"/>
      <c r="I147" s="42"/>
      <c r="J147" s="42"/>
      <c r="K147" s="43"/>
      <c r="L147" s="63"/>
    </row>
    <row r="148" spans="1:12" ht="15" x14ac:dyDescent="0.25">
      <c r="A148" s="23"/>
      <c r="B148" s="15"/>
      <c r="C148" s="11"/>
      <c r="D148" s="7" t="s">
        <v>27</v>
      </c>
      <c r="E148" s="60" t="s">
        <v>93</v>
      </c>
      <c r="F148" s="57">
        <v>200</v>
      </c>
      <c r="G148" s="58">
        <f>F148*1.6/100</f>
        <v>3.2</v>
      </c>
      <c r="H148" s="58">
        <f>F148*1.4/100</f>
        <v>2.8</v>
      </c>
      <c r="I148" s="58">
        <f>F148*3.78/100</f>
        <v>7.56</v>
      </c>
      <c r="J148" s="69">
        <f>G148*4+H148*9+I148*4</f>
        <v>68.239999999999995</v>
      </c>
      <c r="K148" s="70" t="s">
        <v>96</v>
      </c>
      <c r="L148" s="63"/>
    </row>
    <row r="149" spans="1:12" ht="15" x14ac:dyDescent="0.25">
      <c r="A149" s="23"/>
      <c r="B149" s="15"/>
      <c r="C149" s="11"/>
      <c r="D149" s="7" t="s">
        <v>28</v>
      </c>
      <c r="E149" s="56" t="s">
        <v>94</v>
      </c>
      <c r="F149" s="59">
        <v>90</v>
      </c>
      <c r="G149" s="58">
        <f>F149*6.33/100</f>
        <v>5.6970000000000001</v>
      </c>
      <c r="H149" s="58">
        <f>F149*14.65/100</f>
        <v>13.185</v>
      </c>
      <c r="I149" s="58">
        <f>F149*10.55/100</f>
        <v>9.495000000000001</v>
      </c>
      <c r="J149" s="58">
        <f>G149*4+H149*9+I149*4</f>
        <v>179.43299999999999</v>
      </c>
      <c r="K149" s="70" t="s">
        <v>97</v>
      </c>
      <c r="L149" s="63"/>
    </row>
    <row r="150" spans="1:12" ht="15" x14ac:dyDescent="0.25">
      <c r="A150" s="23"/>
      <c r="B150" s="15"/>
      <c r="C150" s="11"/>
      <c r="D150" s="7" t="s">
        <v>29</v>
      </c>
      <c r="E150" s="61" t="s">
        <v>95</v>
      </c>
      <c r="F150" s="59">
        <v>150</v>
      </c>
      <c r="G150" s="58">
        <f>F150*5.67/100</f>
        <v>8.5050000000000008</v>
      </c>
      <c r="H150" s="58">
        <f>F150*4.24/100</f>
        <v>6.36</v>
      </c>
      <c r="I150" s="58">
        <f>F150*25.13/100</f>
        <v>37.695</v>
      </c>
      <c r="J150" s="58">
        <f>G150*4+H150*9+I150*4</f>
        <v>242.04000000000002</v>
      </c>
      <c r="K150" s="71" t="s">
        <v>98</v>
      </c>
      <c r="L150" s="63"/>
    </row>
    <row r="151" spans="1:12" ht="15" x14ac:dyDescent="0.25">
      <c r="A151" s="23"/>
      <c r="B151" s="15"/>
      <c r="C151" s="11"/>
      <c r="D151" s="7" t="s">
        <v>30</v>
      </c>
      <c r="E151" s="56" t="s">
        <v>78</v>
      </c>
      <c r="F151" s="59">
        <v>200</v>
      </c>
      <c r="G151" s="58">
        <f>F151*0.2/200</f>
        <v>0.2</v>
      </c>
      <c r="H151" s="58">
        <f>F151*0.1/200</f>
        <v>0.1</v>
      </c>
      <c r="I151" s="58">
        <f>F151*9.3/200</f>
        <v>9.3000000000000007</v>
      </c>
      <c r="J151" s="58">
        <f>G151*4+H151*9+I151*4</f>
        <v>38.900000000000006</v>
      </c>
      <c r="K151" s="70" t="s">
        <v>82</v>
      </c>
      <c r="L151" s="63"/>
    </row>
    <row r="152" spans="1:12" ht="15" x14ac:dyDescent="0.25">
      <c r="A152" s="23"/>
      <c r="B152" s="15"/>
      <c r="C152" s="11"/>
      <c r="D152" s="7" t="s">
        <v>31</v>
      </c>
      <c r="E152" s="61" t="s">
        <v>44</v>
      </c>
      <c r="F152" s="57">
        <v>40</v>
      </c>
      <c r="G152" s="58">
        <f>F152*7.6/100</f>
        <v>3.04</v>
      </c>
      <c r="H152" s="58">
        <f>F152*0.8/100</f>
        <v>0.32</v>
      </c>
      <c r="I152" s="58">
        <f>F152*49.2/100</f>
        <v>19.68</v>
      </c>
      <c r="J152" s="58">
        <f>G152*4+H152*9+I152*4</f>
        <v>93.759999999999991</v>
      </c>
      <c r="K152" s="71" t="s">
        <v>46</v>
      </c>
      <c r="L152" s="63"/>
    </row>
    <row r="153" spans="1:12" ht="15" x14ac:dyDescent="0.25">
      <c r="A153" s="23"/>
      <c r="B153" s="15"/>
      <c r="C153" s="11"/>
      <c r="D153" s="7" t="s">
        <v>32</v>
      </c>
      <c r="E153" s="61" t="s">
        <v>43</v>
      </c>
      <c r="F153" s="57">
        <v>20</v>
      </c>
      <c r="G153" s="58">
        <f>F153*8/100</f>
        <v>1.6</v>
      </c>
      <c r="H153" s="58">
        <f>F153*1.5/100</f>
        <v>0.3</v>
      </c>
      <c r="I153" s="58">
        <f>F153*40.1/100</f>
        <v>8.02</v>
      </c>
      <c r="J153" s="58">
        <f>G153*4+H153*9+I153*4</f>
        <v>41.18</v>
      </c>
      <c r="K153" s="71" t="s">
        <v>47</v>
      </c>
      <c r="L153" s="63"/>
    </row>
    <row r="154" spans="1:12" ht="15" x14ac:dyDescent="0.25">
      <c r="A154" s="23"/>
      <c r="B154" s="15"/>
      <c r="C154" s="11"/>
      <c r="D154" s="6"/>
      <c r="E154" s="56" t="s">
        <v>45</v>
      </c>
      <c r="F154" s="59">
        <v>40</v>
      </c>
      <c r="G154" s="58">
        <f>F154*1.3/50</f>
        <v>1.04</v>
      </c>
      <c r="H154" s="58">
        <f>F154*4.8/50</f>
        <v>3.84</v>
      </c>
      <c r="I154" s="58">
        <f>F154*4.7/50</f>
        <v>3.76</v>
      </c>
      <c r="J154" s="58">
        <f>G154*4+H154*9+I154*4</f>
        <v>53.76</v>
      </c>
      <c r="K154" s="70" t="s">
        <v>52</v>
      </c>
      <c r="L154" s="63"/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74"/>
      <c r="L155" s="6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740</v>
      </c>
      <c r="G156" s="72">
        <f t="shared" ref="G156:J156" si="72">SUM(G147:G155)</f>
        <v>23.282</v>
      </c>
      <c r="H156" s="72">
        <f t="shared" si="72"/>
        <v>26.905000000000001</v>
      </c>
      <c r="I156" s="72">
        <f t="shared" si="72"/>
        <v>95.509999999999991</v>
      </c>
      <c r="J156" s="72">
        <f t="shared" si="72"/>
        <v>717.31299999999999</v>
      </c>
      <c r="K156" s="25"/>
      <c r="L156" s="64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8</v>
      </c>
      <c r="C157" s="53" t="s">
        <v>4</v>
      </c>
      <c r="D157" s="54"/>
      <c r="E157" s="31"/>
      <c r="F157" s="32">
        <f>F146+F156</f>
        <v>740</v>
      </c>
      <c r="G157" s="73">
        <f t="shared" ref="G157" si="74">G146+G156</f>
        <v>23.282</v>
      </c>
      <c r="H157" s="73">
        <f t="shared" ref="H157" si="75">H146+H156</f>
        <v>26.905000000000001</v>
      </c>
      <c r="I157" s="73">
        <f t="shared" ref="I157" si="76">I146+I156</f>
        <v>95.509999999999991</v>
      </c>
      <c r="J157" s="73">
        <f t="shared" ref="J157:L157" si="77">J146+J156</f>
        <v>717.31299999999999</v>
      </c>
      <c r="K157" s="68"/>
      <c r="L157" s="65">
        <f t="shared" si="77"/>
        <v>0</v>
      </c>
    </row>
    <row r="158" spans="1:12" ht="15" x14ac:dyDescent="0.25">
      <c r="A158" s="20">
        <v>2</v>
      </c>
      <c r="B158" s="21">
        <v>9</v>
      </c>
      <c r="C158" s="22" t="s">
        <v>20</v>
      </c>
      <c r="D158" s="5" t="s">
        <v>21</v>
      </c>
      <c r="E158" s="38"/>
      <c r="F158" s="39"/>
      <c r="G158" s="39"/>
      <c r="H158" s="39"/>
      <c r="I158" s="39"/>
      <c r="J158" s="39"/>
      <c r="K158" s="40"/>
      <c r="L158" s="62"/>
    </row>
    <row r="159" spans="1:12" ht="15" x14ac:dyDescent="0.25">
      <c r="A159" s="23"/>
      <c r="B159" s="15"/>
      <c r="C159" s="11"/>
      <c r="D159" s="6"/>
      <c r="E159" s="41"/>
      <c r="F159" s="42"/>
      <c r="G159" s="42"/>
      <c r="H159" s="42"/>
      <c r="I159" s="42"/>
      <c r="J159" s="42"/>
      <c r="K159" s="43"/>
      <c r="L159" s="63"/>
    </row>
    <row r="160" spans="1:12" ht="15" x14ac:dyDescent="0.25">
      <c r="A160" s="23"/>
      <c r="B160" s="15"/>
      <c r="C160" s="11"/>
      <c r="D160" s="7" t="s">
        <v>22</v>
      </c>
      <c r="E160" s="41"/>
      <c r="F160" s="42"/>
      <c r="G160" s="42"/>
      <c r="H160" s="42"/>
      <c r="I160" s="42"/>
      <c r="J160" s="42"/>
      <c r="K160" s="43"/>
      <c r="L160" s="63"/>
    </row>
    <row r="161" spans="1:12" ht="15" x14ac:dyDescent="0.25">
      <c r="A161" s="23"/>
      <c r="B161" s="15"/>
      <c r="C161" s="11"/>
      <c r="D161" s="7" t="s">
        <v>23</v>
      </c>
      <c r="E161" s="41"/>
      <c r="F161" s="42"/>
      <c r="G161" s="42"/>
      <c r="H161" s="42"/>
      <c r="I161" s="42"/>
      <c r="J161" s="42"/>
      <c r="K161" s="43"/>
      <c r="L161" s="63"/>
    </row>
    <row r="162" spans="1:12" ht="15" x14ac:dyDescent="0.25">
      <c r="A162" s="23"/>
      <c r="B162" s="15"/>
      <c r="C162" s="11"/>
      <c r="D162" s="7" t="s">
        <v>24</v>
      </c>
      <c r="E162" s="41"/>
      <c r="F162" s="42"/>
      <c r="G162" s="42"/>
      <c r="H162" s="42"/>
      <c r="I162" s="42"/>
      <c r="J162" s="42"/>
      <c r="K162" s="43"/>
      <c r="L162" s="63"/>
    </row>
    <row r="163" spans="1:12" ht="15" x14ac:dyDescent="0.25">
      <c r="A163" s="23"/>
      <c r="B163" s="15"/>
      <c r="C163" s="11"/>
      <c r="D163" s="6"/>
      <c r="E163" s="41"/>
      <c r="F163" s="42"/>
      <c r="G163" s="42"/>
      <c r="H163" s="42"/>
      <c r="I163" s="42"/>
      <c r="J163" s="42"/>
      <c r="K163" s="43"/>
      <c r="L163" s="63"/>
    </row>
    <row r="164" spans="1:12" ht="15" x14ac:dyDescent="0.2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6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64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9</v>
      </c>
      <c r="C166" s="10" t="s">
        <v>25</v>
      </c>
      <c r="D166" s="7" t="s">
        <v>26</v>
      </c>
      <c r="E166" s="41"/>
      <c r="F166" s="42"/>
      <c r="G166" s="42"/>
      <c r="H166" s="42"/>
      <c r="I166" s="42"/>
      <c r="J166" s="42"/>
      <c r="K166" s="43"/>
      <c r="L166" s="63"/>
    </row>
    <row r="167" spans="1:12" ht="15" x14ac:dyDescent="0.25">
      <c r="A167" s="23"/>
      <c r="B167" s="15"/>
      <c r="C167" s="11"/>
      <c r="D167" s="7" t="s">
        <v>27</v>
      </c>
      <c r="E167" s="60" t="s">
        <v>99</v>
      </c>
      <c r="F167" s="57">
        <v>200</v>
      </c>
      <c r="G167" s="58">
        <f>F167*1.11/100</f>
        <v>2.2200000000000002</v>
      </c>
      <c r="H167" s="58">
        <f>F167*1.41/100</f>
        <v>2.82</v>
      </c>
      <c r="I167" s="58">
        <f>F167*3.92/100</f>
        <v>7.84</v>
      </c>
      <c r="J167" s="69">
        <f>G167*4+H167*9+I167*4</f>
        <v>65.62</v>
      </c>
      <c r="K167" s="70" t="s">
        <v>101</v>
      </c>
      <c r="L167" s="63"/>
    </row>
    <row r="168" spans="1:12" ht="15" x14ac:dyDescent="0.25">
      <c r="A168" s="23"/>
      <c r="B168" s="15"/>
      <c r="C168" s="11"/>
      <c r="D168" s="7" t="s">
        <v>28</v>
      </c>
      <c r="E168" s="56" t="s">
        <v>100</v>
      </c>
      <c r="F168" s="59">
        <v>90</v>
      </c>
      <c r="G168" s="58">
        <f>F168*24.8/100</f>
        <v>22.32</v>
      </c>
      <c r="H168" s="58">
        <f>F168*16.6/100</f>
        <v>14.940000000000003</v>
      </c>
      <c r="I168" s="58">
        <f>F168*6.1/100</f>
        <v>5.49</v>
      </c>
      <c r="J168" s="58">
        <f>G168*4+H168*9+I168*4</f>
        <v>245.70000000000005</v>
      </c>
      <c r="K168" s="70" t="s">
        <v>102</v>
      </c>
      <c r="L168" s="63"/>
    </row>
    <row r="169" spans="1:12" ht="15" x14ac:dyDescent="0.25">
      <c r="A169" s="23"/>
      <c r="B169" s="15"/>
      <c r="C169" s="11"/>
      <c r="D169" s="7" t="s">
        <v>29</v>
      </c>
      <c r="E169" s="56" t="s">
        <v>55</v>
      </c>
      <c r="F169" s="59">
        <v>150</v>
      </c>
      <c r="G169" s="58">
        <f>F169*2.1/100</f>
        <v>3.15</v>
      </c>
      <c r="H169" s="58">
        <f>F169*3.5/100</f>
        <v>5.25</v>
      </c>
      <c r="I169" s="58">
        <f>F169*14.6/100</f>
        <v>21.9</v>
      </c>
      <c r="J169" s="58">
        <f>G169*4+H169*9+I169*4</f>
        <v>147.44999999999999</v>
      </c>
      <c r="K169" s="70" t="s">
        <v>59</v>
      </c>
      <c r="L169" s="63"/>
    </row>
    <row r="170" spans="1:12" ht="15" x14ac:dyDescent="0.25">
      <c r="A170" s="23"/>
      <c r="B170" s="15"/>
      <c r="C170" s="11"/>
      <c r="D170" s="7" t="s">
        <v>30</v>
      </c>
      <c r="E170" s="56" t="s">
        <v>42</v>
      </c>
      <c r="F170" s="59">
        <v>200</v>
      </c>
      <c r="G170" s="58">
        <f>F170*0.6/200</f>
        <v>0.6</v>
      </c>
      <c r="H170" s="58">
        <f>F170*0.1/200</f>
        <v>0.1</v>
      </c>
      <c r="I170" s="58">
        <f>F170*20.1/200</f>
        <v>20.100000000000001</v>
      </c>
      <c r="J170" s="58">
        <f>G170*4+H170*9+I170*4</f>
        <v>83.7</v>
      </c>
      <c r="K170" s="66" t="s">
        <v>51</v>
      </c>
      <c r="L170" s="63"/>
    </row>
    <row r="171" spans="1:12" ht="15" x14ac:dyDescent="0.25">
      <c r="A171" s="23"/>
      <c r="B171" s="15"/>
      <c r="C171" s="11"/>
      <c r="D171" s="7" t="s">
        <v>31</v>
      </c>
      <c r="E171" s="61" t="s">
        <v>44</v>
      </c>
      <c r="F171" s="57">
        <v>50</v>
      </c>
      <c r="G171" s="58">
        <f>F171*7.6/100</f>
        <v>3.8</v>
      </c>
      <c r="H171" s="58">
        <f>F171*0.8/100</f>
        <v>0.4</v>
      </c>
      <c r="I171" s="58">
        <f>F171*49.2/100</f>
        <v>24.6</v>
      </c>
      <c r="J171" s="58">
        <f>G171*4+H171*9+I171*4</f>
        <v>117.2</v>
      </c>
      <c r="K171" s="71" t="s">
        <v>46</v>
      </c>
      <c r="L171" s="63"/>
    </row>
    <row r="172" spans="1:12" ht="15" x14ac:dyDescent="0.25">
      <c r="A172" s="23"/>
      <c r="B172" s="15"/>
      <c r="C172" s="11"/>
      <c r="D172" s="7" t="s">
        <v>32</v>
      </c>
      <c r="E172" s="61" t="s">
        <v>43</v>
      </c>
      <c r="F172" s="57">
        <v>25</v>
      </c>
      <c r="G172" s="58">
        <f>F172*8/100</f>
        <v>2</v>
      </c>
      <c r="H172" s="58">
        <f>F172*1.5/100</f>
        <v>0.375</v>
      </c>
      <c r="I172" s="58">
        <f>F172*40.1/100</f>
        <v>10.025</v>
      </c>
      <c r="J172" s="58">
        <f>G172*4+H172*9+I172*4</f>
        <v>51.475000000000001</v>
      </c>
      <c r="K172" s="71" t="s">
        <v>47</v>
      </c>
      <c r="L172" s="63"/>
    </row>
    <row r="173" spans="1:12" ht="15" x14ac:dyDescent="0.2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63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6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715</v>
      </c>
      <c r="G175" s="19">
        <f t="shared" ref="G175:J175" si="80">SUM(G166:G174)</f>
        <v>34.089999999999996</v>
      </c>
      <c r="H175" s="72">
        <f t="shared" si="80"/>
        <v>23.885000000000002</v>
      </c>
      <c r="I175" s="72">
        <f t="shared" si="80"/>
        <v>89.955000000000013</v>
      </c>
      <c r="J175" s="72">
        <f t="shared" si="80"/>
        <v>711.1450000000001</v>
      </c>
      <c r="K175" s="25"/>
      <c r="L175" s="64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9</v>
      </c>
      <c r="C176" s="53" t="s">
        <v>4</v>
      </c>
      <c r="D176" s="54"/>
      <c r="E176" s="31"/>
      <c r="F176" s="32">
        <f>F165+F175</f>
        <v>715</v>
      </c>
      <c r="G176" s="32">
        <f t="shared" ref="G176" si="82">G165+G175</f>
        <v>34.089999999999996</v>
      </c>
      <c r="H176" s="73">
        <f t="shared" ref="H176" si="83">H165+H175</f>
        <v>23.885000000000002</v>
      </c>
      <c r="I176" s="73">
        <f t="shared" ref="I176" si="84">I165+I175</f>
        <v>89.955000000000013</v>
      </c>
      <c r="J176" s="73">
        <f t="shared" ref="J176:L176" si="85">J165+J175</f>
        <v>711.1450000000001</v>
      </c>
      <c r="K176" s="68"/>
      <c r="L176" s="65">
        <f t="shared" si="85"/>
        <v>0</v>
      </c>
    </row>
    <row r="177" spans="1:12" ht="15" x14ac:dyDescent="0.25">
      <c r="A177" s="20">
        <v>2</v>
      </c>
      <c r="B177" s="21">
        <v>10</v>
      </c>
      <c r="C177" s="22" t="s">
        <v>20</v>
      </c>
      <c r="D177" s="5" t="s">
        <v>21</v>
      </c>
      <c r="E177" s="38"/>
      <c r="F177" s="39"/>
      <c r="G177" s="39"/>
      <c r="H177" s="39"/>
      <c r="I177" s="39"/>
      <c r="J177" s="39"/>
      <c r="K177" s="40"/>
      <c r="L177" s="62"/>
    </row>
    <row r="178" spans="1:12" ht="15" x14ac:dyDescent="0.25">
      <c r="A178" s="23"/>
      <c r="B178" s="15"/>
      <c r="C178" s="11"/>
      <c r="D178" s="6"/>
      <c r="E178" s="41"/>
      <c r="F178" s="42"/>
      <c r="G178" s="42"/>
      <c r="H178" s="42"/>
      <c r="I178" s="42"/>
      <c r="J178" s="42"/>
      <c r="K178" s="43"/>
      <c r="L178" s="63"/>
    </row>
    <row r="179" spans="1:12" ht="15" x14ac:dyDescent="0.25">
      <c r="A179" s="23"/>
      <c r="B179" s="15"/>
      <c r="C179" s="11"/>
      <c r="D179" s="7" t="s">
        <v>22</v>
      </c>
      <c r="E179" s="41"/>
      <c r="F179" s="42"/>
      <c r="G179" s="42"/>
      <c r="H179" s="42"/>
      <c r="I179" s="42"/>
      <c r="J179" s="42"/>
      <c r="K179" s="43"/>
      <c r="L179" s="63"/>
    </row>
    <row r="180" spans="1:12" ht="15" x14ac:dyDescent="0.25">
      <c r="A180" s="23"/>
      <c r="B180" s="15"/>
      <c r="C180" s="11"/>
      <c r="D180" s="7" t="s">
        <v>23</v>
      </c>
      <c r="E180" s="41"/>
      <c r="F180" s="42"/>
      <c r="G180" s="42"/>
      <c r="H180" s="42"/>
      <c r="I180" s="42"/>
      <c r="J180" s="42"/>
      <c r="K180" s="43"/>
      <c r="L180" s="63"/>
    </row>
    <row r="181" spans="1:12" ht="15" x14ac:dyDescent="0.25">
      <c r="A181" s="23"/>
      <c r="B181" s="15"/>
      <c r="C181" s="11"/>
      <c r="D181" s="7" t="s">
        <v>24</v>
      </c>
      <c r="E181" s="41"/>
      <c r="F181" s="42"/>
      <c r="G181" s="42"/>
      <c r="H181" s="42"/>
      <c r="I181" s="42"/>
      <c r="J181" s="42"/>
      <c r="K181" s="43"/>
      <c r="L181" s="63"/>
    </row>
    <row r="182" spans="1:12" ht="15" x14ac:dyDescent="0.25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63"/>
    </row>
    <row r="183" spans="1:12" ht="15" x14ac:dyDescent="0.2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6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64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10</v>
      </c>
      <c r="C185" s="10" t="s">
        <v>25</v>
      </c>
      <c r="D185" s="7" t="s">
        <v>26</v>
      </c>
      <c r="E185" s="41"/>
      <c r="F185" s="42"/>
      <c r="G185" s="42"/>
      <c r="H185" s="42"/>
      <c r="I185" s="42"/>
      <c r="J185" s="42"/>
      <c r="K185" s="43"/>
      <c r="L185" s="63"/>
    </row>
    <row r="186" spans="1:12" ht="15" x14ac:dyDescent="0.25">
      <c r="A186" s="23"/>
      <c r="B186" s="15"/>
      <c r="C186" s="11"/>
      <c r="D186" s="7" t="s">
        <v>27</v>
      </c>
      <c r="E186" s="60" t="s">
        <v>53</v>
      </c>
      <c r="F186" s="57">
        <v>200</v>
      </c>
      <c r="G186" s="69">
        <f>F186*2.9/250</f>
        <v>2.3199999999999998</v>
      </c>
      <c r="H186" s="69">
        <f>F186*2.5/250</f>
        <v>2</v>
      </c>
      <c r="I186" s="69">
        <f>F186*21/250</f>
        <v>16.8</v>
      </c>
      <c r="J186" s="69">
        <f>G186*4+H186*9+I186*4</f>
        <v>94.48</v>
      </c>
      <c r="K186" s="70" t="s">
        <v>57</v>
      </c>
      <c r="L186" s="63"/>
    </row>
    <row r="187" spans="1:12" ht="15" x14ac:dyDescent="0.25">
      <c r="A187" s="23"/>
      <c r="B187" s="15"/>
      <c r="C187" s="11"/>
      <c r="D187" s="7" t="s">
        <v>28</v>
      </c>
      <c r="E187" s="56" t="s">
        <v>103</v>
      </c>
      <c r="F187" s="59">
        <v>90</v>
      </c>
      <c r="G187" s="58">
        <f>F187*13.5/100</f>
        <v>12.15</v>
      </c>
      <c r="H187" s="58">
        <f>F187*21/100</f>
        <v>18.899999999999999</v>
      </c>
      <c r="I187" s="58">
        <f>F187*9.9/100</f>
        <v>8.91</v>
      </c>
      <c r="J187" s="58">
        <f>G187*4+H187*9+I187*4</f>
        <v>254.33999999999997</v>
      </c>
      <c r="K187" s="70" t="s">
        <v>105</v>
      </c>
      <c r="L187" s="63"/>
    </row>
    <row r="188" spans="1:12" ht="15" x14ac:dyDescent="0.25">
      <c r="A188" s="23"/>
      <c r="B188" s="15"/>
      <c r="C188" s="11"/>
      <c r="D188" s="7" t="s">
        <v>29</v>
      </c>
      <c r="E188" s="61" t="s">
        <v>104</v>
      </c>
      <c r="F188" s="59">
        <v>150</v>
      </c>
      <c r="G188" s="58">
        <f>F188*2.5/100</f>
        <v>3.75</v>
      </c>
      <c r="H188" s="58">
        <f>F188*4.6/100</f>
        <v>6.9</v>
      </c>
      <c r="I188" s="58">
        <f>F188*10.7/100</f>
        <v>16.05</v>
      </c>
      <c r="J188" s="58">
        <f>G188*4+H188*9+I188*4</f>
        <v>141.30000000000001</v>
      </c>
      <c r="K188" s="71" t="s">
        <v>106</v>
      </c>
      <c r="L188" s="63"/>
    </row>
    <row r="189" spans="1:12" ht="15" x14ac:dyDescent="0.25">
      <c r="A189" s="23"/>
      <c r="B189" s="15"/>
      <c r="C189" s="11"/>
      <c r="D189" s="7" t="s">
        <v>30</v>
      </c>
      <c r="E189" s="56" t="s">
        <v>71</v>
      </c>
      <c r="F189" s="59">
        <v>200</v>
      </c>
      <c r="G189" s="58">
        <f>F189*0.67/200</f>
        <v>0.67</v>
      </c>
      <c r="H189" s="58">
        <f>F189*0.27/200</f>
        <v>0.27</v>
      </c>
      <c r="I189" s="58">
        <f>F189*18.3/200</f>
        <v>18.3</v>
      </c>
      <c r="J189" s="58">
        <f>G189*4+H189*9+I189*4</f>
        <v>78.31</v>
      </c>
      <c r="K189" s="70" t="s">
        <v>74</v>
      </c>
      <c r="L189" s="63"/>
    </row>
    <row r="190" spans="1:12" ht="15" x14ac:dyDescent="0.25">
      <c r="A190" s="23"/>
      <c r="B190" s="15"/>
      <c r="C190" s="11"/>
      <c r="D190" s="7" t="s">
        <v>31</v>
      </c>
      <c r="E190" s="61" t="s">
        <v>44</v>
      </c>
      <c r="F190" s="57">
        <v>50</v>
      </c>
      <c r="G190" s="58">
        <f>F190*7.6/100</f>
        <v>3.8</v>
      </c>
      <c r="H190" s="58">
        <f>F190*0.8/100</f>
        <v>0.4</v>
      </c>
      <c r="I190" s="58">
        <f>F190*49.2/100</f>
        <v>24.6</v>
      </c>
      <c r="J190" s="58">
        <f>G190*4+H190*9+I190*4</f>
        <v>117.2</v>
      </c>
      <c r="K190" s="71" t="s">
        <v>46</v>
      </c>
      <c r="L190" s="63"/>
    </row>
    <row r="191" spans="1:12" ht="15" x14ac:dyDescent="0.25">
      <c r="A191" s="23"/>
      <c r="B191" s="15"/>
      <c r="C191" s="11"/>
      <c r="D191" s="7" t="s">
        <v>32</v>
      </c>
      <c r="E191" s="61" t="s">
        <v>43</v>
      </c>
      <c r="F191" s="57">
        <v>25</v>
      </c>
      <c r="G191" s="58">
        <f>F191*8/100</f>
        <v>2</v>
      </c>
      <c r="H191" s="58">
        <f>F191*1.5/100</f>
        <v>0.375</v>
      </c>
      <c r="I191" s="58">
        <f>F191*40.1/100</f>
        <v>10.025</v>
      </c>
      <c r="J191" s="58">
        <f>G191*4+H191*9+I191*4</f>
        <v>51.475000000000001</v>
      </c>
      <c r="K191" s="71" t="s">
        <v>47</v>
      </c>
      <c r="L191" s="63"/>
    </row>
    <row r="192" spans="1:12" ht="15" x14ac:dyDescent="0.2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63"/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6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715</v>
      </c>
      <c r="G194" s="19">
        <f t="shared" ref="G194:J194" si="88">SUM(G185:G193)</f>
        <v>24.69</v>
      </c>
      <c r="H194" s="72">
        <f t="shared" si="88"/>
        <v>28.844999999999995</v>
      </c>
      <c r="I194" s="72">
        <f t="shared" si="88"/>
        <v>94.685000000000002</v>
      </c>
      <c r="J194" s="72">
        <f t="shared" si="88"/>
        <v>737.10500000000013</v>
      </c>
      <c r="K194" s="25"/>
      <c r="L194" s="64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10</v>
      </c>
      <c r="C195" s="53" t="s">
        <v>4</v>
      </c>
      <c r="D195" s="54"/>
      <c r="E195" s="31"/>
      <c r="F195" s="32">
        <f>F184+F194</f>
        <v>715</v>
      </c>
      <c r="G195" s="32">
        <f t="shared" ref="G195" si="90">G184+G194</f>
        <v>24.69</v>
      </c>
      <c r="H195" s="73">
        <f t="shared" ref="H195" si="91">H184+H194</f>
        <v>28.844999999999995</v>
      </c>
      <c r="I195" s="73">
        <f t="shared" ref="I195" si="92">I184+I194</f>
        <v>94.685000000000002</v>
      </c>
      <c r="J195" s="73">
        <f t="shared" ref="J195:L195" si="93">J184+J194</f>
        <v>737.10500000000013</v>
      </c>
      <c r="K195" s="68"/>
      <c r="L195" s="65">
        <f t="shared" si="93"/>
        <v>0</v>
      </c>
    </row>
    <row r="196" spans="1:12" x14ac:dyDescent="0.2">
      <c r="A196" s="27"/>
      <c r="B196" s="28"/>
      <c r="C196" s="55" t="s">
        <v>5</v>
      </c>
      <c r="D196" s="55"/>
      <c r="E196" s="55"/>
      <c r="F196" s="81">
        <f>(F24+F43+F62+F81+F100+F119+F138+F157+F176+F195)/(IF(F24=0,0,1)+IF(F43=0,0,1)+IF(F62=0,0,1)+IF(F81=0,0,1)+IF(F100=0,0,1)+IF(F119=0,0,1)+IF(F138=0,0,1)+IF(F157=0,0,1)+IF(F176=0,0,1)+IF(F195=0,0,1))</f>
        <v>719.5</v>
      </c>
      <c r="G196" s="78">
        <f t="shared" ref="G196:J196" si="94">(G24+G43+G62+G81+G100+G119+G138+G157+G176+G195)/(IF(G24=0,0,1)+IF(G43=0,0,1)+IF(G62=0,0,1)+IF(G81=0,0,1)+IF(G100=0,0,1)+IF(G119=0,0,1)+IF(G138=0,0,1)+IF(G157=0,0,1)+IF(G176=0,0,1)+IF(G195=0,0,1))</f>
        <v>28.7637</v>
      </c>
      <c r="H196" s="78">
        <f t="shared" si="94"/>
        <v>25.82525</v>
      </c>
      <c r="I196" s="78">
        <f t="shared" si="94"/>
        <v>94.818375000000017</v>
      </c>
      <c r="J196" s="78">
        <f t="shared" si="94"/>
        <v>726.75555000000008</v>
      </c>
      <c r="K196" s="80"/>
      <c r="L196" s="79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dcterms:created xsi:type="dcterms:W3CDTF">2022-05-16T14:23:56Z</dcterms:created>
  <dcterms:modified xsi:type="dcterms:W3CDTF">2023-10-12T09:26:28Z</dcterms:modified>
</cp:coreProperties>
</file>